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dget\Desktop\2021 Re-Ordered Budget\"/>
    </mc:Choice>
  </mc:AlternateContent>
  <bookViews>
    <workbookView xWindow="0" yWindow="0" windowWidth="2040" windowHeight="1125" firstSheet="7" activeTab="7"/>
  </bookViews>
  <sheets>
    <sheet name="Overall Summary Revenue" sheetId="24" r:id="rId1"/>
    <sheet name="Revenue Details" sheetId="25" r:id="rId2"/>
    <sheet name="Overall summary R&amp;C" sheetId="4" r:id="rId3"/>
    <sheet name="summary of recurent allocation" sheetId="2" r:id="rId4"/>
    <sheet name="Summary of capital allocation" sheetId="3" r:id="rId5"/>
    <sheet name="Pooled fund personnel" sheetId="11" r:id="rId6"/>
    <sheet name="Personnel Details" sheetId="19" r:id="rId7"/>
    <sheet name="Pooled Fund SP" sheetId="18" r:id="rId8"/>
    <sheet name="Details SP" sheetId="8" r:id="rId9"/>
    <sheet name="Grants" sheetId="23" r:id="rId10"/>
    <sheet name="Pooled Fund detail Capital" sheetId="7" r:id="rId11"/>
    <sheet name="Project detail capital" sheetId="5" r:id="rId12"/>
    <sheet name="First Schedule" sheetId="22" r:id="rId13"/>
    <sheet name="Second Schedule" sheetId="16" r:id="rId14"/>
    <sheet name="Third Schedule" sheetId="20" r:id="rId15"/>
    <sheet name="Fourth Schedule" sheetId="21" r:id="rId16"/>
  </sheets>
  <definedNames>
    <definedName name="_GoBack" localSheetId="11">'Project detail capital'!#REF!</definedName>
    <definedName name="_xlnm.Print_Titles" localSheetId="15">'Fourth Schedule'!$5:$5</definedName>
    <definedName name="_xlnm.Print_Titles" localSheetId="9">Grants!$5:$5</definedName>
    <definedName name="_xlnm.Print_Titles" localSheetId="10">'Pooled Fund detail Capital'!$5:$5</definedName>
    <definedName name="_xlnm.Print_Titles" localSheetId="7">'Pooled Fund SP'!$6:$6</definedName>
    <definedName name="_xlnm.Print_Titles" localSheetId="11">'Project detail capital'!$5:$5</definedName>
    <definedName name="_xlnm.Print_Titles" localSheetId="1">'Revenue Details'!$5:$5</definedName>
    <definedName name="_xlnm.Print_Titles" localSheetId="3">'summary of recurent allocation'!$5:$5</definedName>
    <definedName name="_xlnm.Print_Titles" localSheetId="14">'Third Schedule'!$5:$5</definedName>
  </definedNames>
  <calcPr calcId="162913"/>
</workbook>
</file>

<file path=xl/calcChain.xml><?xml version="1.0" encoding="utf-8"?>
<calcChain xmlns="http://schemas.openxmlformats.org/spreadsheetml/2006/main">
  <c r="D80" i="21" l="1"/>
  <c r="H62" i="7"/>
  <c r="G62" i="7"/>
  <c r="F62" i="7"/>
  <c r="I61" i="7"/>
  <c r="I62" i="7" s="1"/>
  <c r="H577" i="8" l="1"/>
  <c r="H576" i="8"/>
  <c r="H575" i="8"/>
  <c r="H574" i="8"/>
  <c r="H573" i="8"/>
  <c r="H572" i="8"/>
  <c r="H571" i="8"/>
  <c r="H570" i="8"/>
  <c r="D578" i="8"/>
  <c r="G578" i="8"/>
  <c r="F578" i="8"/>
  <c r="E578" i="8"/>
  <c r="H569" i="8"/>
  <c r="H833" i="8"/>
  <c r="H834" i="8" s="1"/>
  <c r="H578" i="8" l="1"/>
  <c r="H37" i="7"/>
  <c r="D88" i="21" l="1"/>
  <c r="D89" i="21"/>
  <c r="D134" i="21"/>
  <c r="D61" i="21"/>
  <c r="D62" i="21"/>
  <c r="D39" i="21"/>
  <c r="H14" i="11"/>
  <c r="E152" i="5"/>
  <c r="F140" i="5"/>
  <c r="D29" i="3" s="1"/>
  <c r="E140" i="5"/>
  <c r="D140" i="5"/>
  <c r="G139" i="5"/>
  <c r="G140" i="5" s="1"/>
  <c r="F50" i="5" l="1"/>
  <c r="G446" i="8"/>
  <c r="G400" i="8"/>
  <c r="F48" i="20" s="1"/>
  <c r="F400" i="8"/>
  <c r="E400" i="8"/>
  <c r="D400" i="8"/>
  <c r="H389" i="8"/>
  <c r="H390" i="8"/>
  <c r="H391" i="8"/>
  <c r="H392" i="8"/>
  <c r="H393" i="8"/>
  <c r="H394" i="8"/>
  <c r="H395" i="8"/>
  <c r="H396" i="8"/>
  <c r="H397" i="8"/>
  <c r="H398" i="8"/>
  <c r="H399" i="8"/>
  <c r="H388" i="8"/>
  <c r="D49" i="20"/>
  <c r="D22" i="2"/>
  <c r="G14" i="19"/>
  <c r="F147" i="5"/>
  <c r="E147" i="5"/>
  <c r="D147" i="5"/>
  <c r="G147" i="5"/>
  <c r="G143" i="5"/>
  <c r="G146" i="5"/>
  <c r="G144" i="5"/>
  <c r="G44" i="5"/>
  <c r="H513" i="8"/>
  <c r="H512" i="8"/>
  <c r="H511" i="8"/>
  <c r="H510" i="8"/>
  <c r="H509" i="8"/>
  <c r="H508" i="8"/>
  <c r="G514" i="8"/>
  <c r="F21" i="2" s="1"/>
  <c r="F514" i="8"/>
  <c r="E514" i="8"/>
  <c r="D514" i="8"/>
  <c r="H507" i="8"/>
  <c r="H506" i="8"/>
  <c r="F17" i="2" l="1"/>
  <c r="H400" i="8"/>
  <c r="H514" i="8"/>
  <c r="F68" i="20" s="1"/>
  <c r="D106" i="21" l="1"/>
  <c r="D84" i="21"/>
  <c r="D10" i="21"/>
  <c r="D79" i="21"/>
  <c r="D72" i="21"/>
  <c r="D66" i="21"/>
  <c r="D59" i="21"/>
  <c r="D54" i="21"/>
  <c r="D53" i="21"/>
  <c r="D22" i="21"/>
  <c r="D12" i="21"/>
  <c r="D6" i="21"/>
  <c r="D75" i="21"/>
  <c r="D123" i="21"/>
  <c r="D141" i="21"/>
  <c r="D105" i="21"/>
  <c r="D126" i="21"/>
  <c r="D58" i="21"/>
  <c r="D125" i="21"/>
  <c r="D68" i="21"/>
  <c r="D65" i="21"/>
  <c r="D11" i="21"/>
  <c r="D93" i="21"/>
  <c r="D78" i="21"/>
  <c r="D85" i="21"/>
  <c r="D137" i="21"/>
  <c r="F76" i="20"/>
  <c r="F154" i="20"/>
  <c r="I17" i="18"/>
  <c r="I18" i="18"/>
  <c r="I19" i="18"/>
  <c r="I16" i="18"/>
  <c r="H20" i="18"/>
  <c r="G20" i="18"/>
  <c r="F20" i="18"/>
  <c r="G16" i="7"/>
  <c r="F114" i="5"/>
  <c r="I57" i="7"/>
  <c r="I56" i="7"/>
  <c r="I53" i="7"/>
  <c r="I50" i="7"/>
  <c r="I45" i="7"/>
  <c r="I44" i="7"/>
  <c r="I43" i="7"/>
  <c r="I40" i="7"/>
  <c r="I37" i="7"/>
  <c r="I34" i="7"/>
  <c r="I31" i="7"/>
  <c r="I29" i="7"/>
  <c r="I25" i="7"/>
  <c r="I26" i="7"/>
  <c r="I24" i="7"/>
  <c r="I21" i="7"/>
  <c r="I18" i="7"/>
  <c r="I15" i="7"/>
  <c r="I9" i="7"/>
  <c r="I6" i="7"/>
  <c r="I47" i="7"/>
  <c r="F108" i="5"/>
  <c r="E108" i="5"/>
  <c r="D108" i="5"/>
  <c r="G86" i="5"/>
  <c r="G87" i="5"/>
  <c r="G88" i="5"/>
  <c r="G89" i="5"/>
  <c r="G90" i="5"/>
  <c r="G91" i="5"/>
  <c r="G92" i="5"/>
  <c r="G93" i="5"/>
  <c r="G94" i="5"/>
  <c r="G95" i="5"/>
  <c r="G96" i="5"/>
  <c r="G97" i="5"/>
  <c r="G98" i="5"/>
  <c r="G99" i="5"/>
  <c r="G100" i="5"/>
  <c r="G85" i="5"/>
  <c r="G51" i="8"/>
  <c r="D51" i="8"/>
  <c r="H50" i="8"/>
  <c r="F50" i="8"/>
  <c r="F51" i="8" s="1"/>
  <c r="E50" i="8"/>
  <c r="E51" i="8" s="1"/>
  <c r="H49" i="8"/>
  <c r="H48" i="8"/>
  <c r="H47" i="8"/>
  <c r="H46" i="8"/>
  <c r="H45" i="8"/>
  <c r="H44" i="8"/>
  <c r="H43" i="8"/>
  <c r="H42" i="8"/>
  <c r="H11" i="2" l="1"/>
  <c r="E47" i="20"/>
  <c r="G47" i="20" s="1"/>
  <c r="I20" i="18"/>
  <c r="H51" i="8"/>
  <c r="G44" i="20" s="1"/>
  <c r="C14" i="24" l="1"/>
  <c r="C6" i="24"/>
  <c r="C5" i="24"/>
  <c r="D46" i="25"/>
  <c r="F46" i="25"/>
  <c r="F24" i="25"/>
  <c r="E27" i="25"/>
  <c r="D27" i="25"/>
  <c r="F8" i="25"/>
  <c r="F9" i="25"/>
  <c r="F10" i="25"/>
  <c r="F11" i="25"/>
  <c r="F12" i="25"/>
  <c r="F13" i="25"/>
  <c r="F14" i="25"/>
  <c r="F15" i="25"/>
  <c r="F16" i="25"/>
  <c r="F17" i="25"/>
  <c r="F18" i="25"/>
  <c r="F19" i="25"/>
  <c r="F20" i="25"/>
  <c r="F21" i="25"/>
  <c r="F22" i="25"/>
  <c r="F23" i="25"/>
  <c r="F25" i="25"/>
  <c r="F26" i="25"/>
  <c r="F7" i="25"/>
  <c r="E45" i="25"/>
  <c r="D45" i="25"/>
  <c r="F32" i="25"/>
  <c r="F33" i="25"/>
  <c r="F34" i="25"/>
  <c r="F35" i="25"/>
  <c r="F36" i="25"/>
  <c r="F37" i="25"/>
  <c r="F38" i="25"/>
  <c r="F39" i="25"/>
  <c r="F40" i="25"/>
  <c r="F41" i="25"/>
  <c r="F42" i="25"/>
  <c r="F43" i="25"/>
  <c r="F44" i="25"/>
  <c r="E142" i="21"/>
  <c r="F27" i="25" l="1"/>
  <c r="D159" i="20" l="1"/>
  <c r="D124" i="20"/>
  <c r="D121" i="20"/>
  <c r="D96" i="20"/>
  <c r="D70" i="20"/>
  <c r="D80" i="20"/>
  <c r="D157" i="20"/>
  <c r="D151" i="20"/>
  <c r="F31" i="25"/>
  <c r="F30" i="25"/>
  <c r="C15" i="24"/>
  <c r="C7" i="24"/>
  <c r="F45" i="25" l="1"/>
  <c r="D22" i="3"/>
  <c r="G102" i="5"/>
  <c r="G103" i="5"/>
  <c r="G104" i="5"/>
  <c r="G105" i="5"/>
  <c r="G106" i="5"/>
  <c r="G107" i="5"/>
  <c r="G101" i="5"/>
  <c r="G108" i="5" l="1"/>
  <c r="H17" i="8"/>
  <c r="G18" i="8"/>
  <c r="E13" i="20" s="1"/>
  <c r="D18" i="8"/>
  <c r="F17" i="8"/>
  <c r="F18" i="8" s="1"/>
  <c r="E17" i="8"/>
  <c r="E18" i="8" s="1"/>
  <c r="H16" i="8"/>
  <c r="H15" i="8"/>
  <c r="H14" i="8"/>
  <c r="H13" i="8"/>
  <c r="H12" i="8"/>
  <c r="H11" i="8"/>
  <c r="H10" i="8"/>
  <c r="H9" i="8"/>
  <c r="I23" i="23"/>
  <c r="F42" i="2" s="1"/>
  <c r="H23" i="23"/>
  <c r="G23" i="23"/>
  <c r="F23" i="23"/>
  <c r="J22" i="23"/>
  <c r="J21" i="23"/>
  <c r="J20" i="23"/>
  <c r="J19" i="23"/>
  <c r="J18" i="23"/>
  <c r="J17" i="23"/>
  <c r="J16" i="23"/>
  <c r="J15" i="23"/>
  <c r="J14" i="23"/>
  <c r="J13" i="23"/>
  <c r="J12" i="23"/>
  <c r="J11" i="23"/>
  <c r="J10" i="23"/>
  <c r="J9" i="23"/>
  <c r="J8" i="23"/>
  <c r="J7" i="23"/>
  <c r="J6" i="23"/>
  <c r="H9" i="2" l="1"/>
  <c r="H18" i="8"/>
  <c r="J23" i="23"/>
  <c r="G165" i="20" s="1"/>
  <c r="F73" i="5"/>
  <c r="D19" i="3" s="1"/>
  <c r="D73" i="5"/>
  <c r="G71" i="5"/>
  <c r="H59" i="7"/>
  <c r="F59" i="7"/>
  <c r="G56" i="7"/>
  <c r="I58" i="7"/>
  <c r="I59" i="7" l="1"/>
  <c r="G59" i="7"/>
  <c r="G181" i="8"/>
  <c r="H29" i="2" s="1"/>
  <c r="F181" i="8"/>
  <c r="E181" i="8"/>
  <c r="D181" i="8"/>
  <c r="H180" i="8"/>
  <c r="H179" i="8"/>
  <c r="H178" i="8"/>
  <c r="H177" i="8"/>
  <c r="H176" i="8"/>
  <c r="H175" i="8"/>
  <c r="H174" i="8"/>
  <c r="H173" i="8"/>
  <c r="H172" i="8"/>
  <c r="H171" i="8"/>
  <c r="H865" i="8"/>
  <c r="H866" i="8"/>
  <c r="H867" i="8"/>
  <c r="H868" i="8"/>
  <c r="H869" i="8"/>
  <c r="H870" i="8"/>
  <c r="H871" i="8"/>
  <c r="H872" i="8"/>
  <c r="H873" i="8"/>
  <c r="H874" i="8"/>
  <c r="H875" i="8"/>
  <c r="H876" i="8"/>
  <c r="H877" i="8"/>
  <c r="H878" i="8"/>
  <c r="H879" i="8"/>
  <c r="H880" i="8"/>
  <c r="H881" i="8"/>
  <c r="H882" i="8"/>
  <c r="H883" i="8"/>
  <c r="H864" i="8"/>
  <c r="H181" i="8" l="1"/>
  <c r="E102" i="20" s="1"/>
  <c r="H107" i="8"/>
  <c r="H108" i="8"/>
  <c r="H109" i="8"/>
  <c r="H110" i="8"/>
  <c r="H111" i="8"/>
  <c r="H112" i="8"/>
  <c r="H113" i="8"/>
  <c r="H114" i="8"/>
  <c r="H115" i="8"/>
  <c r="H116" i="8"/>
  <c r="E141" i="21" l="1"/>
  <c r="E140" i="21"/>
  <c r="E139" i="21"/>
  <c r="E138" i="21"/>
  <c r="E137" i="21"/>
  <c r="E136" i="21"/>
  <c r="E135" i="21"/>
  <c r="E134" i="21"/>
  <c r="E133" i="21"/>
  <c r="E132" i="21"/>
  <c r="E131" i="21"/>
  <c r="E130" i="21"/>
  <c r="E129" i="21"/>
  <c r="E128" i="21"/>
  <c r="E127" i="21"/>
  <c r="E126" i="21"/>
  <c r="E125" i="21"/>
  <c r="E124" i="21"/>
  <c r="E123" i="21"/>
  <c r="E122" i="21"/>
  <c r="E120" i="21"/>
  <c r="E119" i="21"/>
  <c r="E118" i="21"/>
  <c r="E117" i="21"/>
  <c r="E116" i="21"/>
  <c r="E115" i="21"/>
  <c r="E114" i="21"/>
  <c r="E113" i="21"/>
  <c r="E112" i="21"/>
  <c r="E111" i="21"/>
  <c r="E110" i="21"/>
  <c r="E109" i="21"/>
  <c r="E108" i="21"/>
  <c r="E107" i="21"/>
  <c r="E106" i="21"/>
  <c r="E105" i="21"/>
  <c r="E104" i="21"/>
  <c r="E103" i="21"/>
  <c r="E102" i="21"/>
  <c r="E101" i="21"/>
  <c r="E100" i="21"/>
  <c r="E99" i="21"/>
  <c r="E98" i="21"/>
  <c r="E97" i="21"/>
  <c r="E96" i="21"/>
  <c r="E94" i="21"/>
  <c r="E93" i="21"/>
  <c r="E92" i="21"/>
  <c r="E91" i="21"/>
  <c r="E90" i="21"/>
  <c r="E89" i="21"/>
  <c r="E88" i="21"/>
  <c r="E87" i="21"/>
  <c r="E86" i="21"/>
  <c r="E85" i="21"/>
  <c r="E84" i="21"/>
  <c r="E83" i="21"/>
  <c r="E82" i="21"/>
  <c r="E81" i="21"/>
  <c r="E80" i="21"/>
  <c r="E79" i="21"/>
  <c r="E78" i="21"/>
  <c r="E77" i="21"/>
  <c r="E76" i="21"/>
  <c r="E75" i="21"/>
  <c r="E74" i="21"/>
  <c r="E73" i="21"/>
  <c r="E72" i="21"/>
  <c r="E70" i="21"/>
  <c r="E69" i="21"/>
  <c r="E68" i="21"/>
  <c r="E67" i="21"/>
  <c r="E66" i="21"/>
  <c r="E65" i="21"/>
  <c r="E64" i="21"/>
  <c r="E63" i="21"/>
  <c r="E62" i="21"/>
  <c r="E61" i="21"/>
  <c r="E60" i="21"/>
  <c r="E59" i="21"/>
  <c r="E58" i="21"/>
  <c r="E57" i="21"/>
  <c r="E56" i="21"/>
  <c r="E55" i="21"/>
  <c r="E54" i="21"/>
  <c r="E53" i="21"/>
  <c r="E52" i="21"/>
  <c r="E51" i="21"/>
  <c r="E50" i="21"/>
  <c r="E49" i="21"/>
  <c r="E48" i="21"/>
  <c r="E46" i="21"/>
  <c r="E45" i="21"/>
  <c r="E44" i="21"/>
  <c r="E43" i="21"/>
  <c r="E42" i="21"/>
  <c r="E41" i="21"/>
  <c r="E40" i="21"/>
  <c r="E39" i="21"/>
  <c r="E38" i="21"/>
  <c r="E37" i="21"/>
  <c r="E36" i="21"/>
  <c r="E35" i="21"/>
  <c r="E34" i="21"/>
  <c r="E33" i="21"/>
  <c r="E32" i="21"/>
  <c r="E31" i="21"/>
  <c r="E30" i="21"/>
  <c r="E29" i="21"/>
  <c r="E28" i="21"/>
  <c r="D27" i="21"/>
  <c r="E27" i="21" s="1"/>
  <c r="E26" i="21"/>
  <c r="E25" i="21"/>
  <c r="E24" i="21"/>
  <c r="E22" i="21"/>
  <c r="E21" i="21"/>
  <c r="E20" i="21"/>
  <c r="E19" i="21"/>
  <c r="E18" i="21"/>
  <c r="E17" i="21"/>
  <c r="E16" i="21"/>
  <c r="E15" i="21"/>
  <c r="E14" i="21"/>
  <c r="E13" i="21"/>
  <c r="E12" i="21"/>
  <c r="E11" i="21"/>
  <c r="E10" i="21"/>
  <c r="E9" i="21"/>
  <c r="E8" i="21"/>
  <c r="E7" i="21"/>
  <c r="E6" i="21"/>
  <c r="G164" i="20"/>
  <c r="G163" i="20"/>
  <c r="G162" i="20"/>
  <c r="G161" i="20"/>
  <c r="G160" i="20"/>
  <c r="G158" i="20"/>
  <c r="G157" i="20"/>
  <c r="G156" i="20"/>
  <c r="G155" i="20"/>
  <c r="G154" i="20"/>
  <c r="G153" i="20"/>
  <c r="G152" i="20"/>
  <c r="G151" i="20"/>
  <c r="G150" i="20"/>
  <c r="G149" i="20"/>
  <c r="G146" i="20"/>
  <c r="G145" i="20"/>
  <c r="G144" i="20"/>
  <c r="G143" i="20"/>
  <c r="G141" i="20"/>
  <c r="G140" i="20"/>
  <c r="G139" i="20"/>
  <c r="G138" i="20"/>
  <c r="G137" i="20"/>
  <c r="G136" i="20"/>
  <c r="G135" i="20"/>
  <c r="G134" i="20"/>
  <c r="G133" i="20"/>
  <c r="G131" i="20"/>
  <c r="G130" i="20"/>
  <c r="G129" i="20"/>
  <c r="G128" i="20"/>
  <c r="G126" i="20"/>
  <c r="G125" i="20"/>
  <c r="G123" i="20"/>
  <c r="G122" i="20"/>
  <c r="G120" i="20"/>
  <c r="G116" i="20"/>
  <c r="G115" i="20"/>
  <c r="G114" i="20"/>
  <c r="G112" i="20"/>
  <c r="G111" i="20"/>
  <c r="G109" i="20"/>
  <c r="G108" i="20"/>
  <c r="G107" i="20"/>
  <c r="G106" i="20"/>
  <c r="G105" i="20"/>
  <c r="G104" i="20"/>
  <c r="G103" i="20"/>
  <c r="G101" i="20"/>
  <c r="G100" i="20"/>
  <c r="G99" i="20"/>
  <c r="G98" i="20"/>
  <c r="G96" i="20"/>
  <c r="G95" i="20"/>
  <c r="G94" i="20"/>
  <c r="G93" i="20"/>
  <c r="G92" i="20"/>
  <c r="G91" i="20"/>
  <c r="G90" i="20"/>
  <c r="G89" i="20"/>
  <c r="G88" i="20"/>
  <c r="F86" i="20"/>
  <c r="G86" i="20" s="1"/>
  <c r="G84" i="20"/>
  <c r="G82" i="20"/>
  <c r="G81" i="20"/>
  <c r="G78" i="20"/>
  <c r="G77" i="20"/>
  <c r="G76" i="20"/>
  <c r="G75" i="20"/>
  <c r="G74" i="20"/>
  <c r="G73" i="20"/>
  <c r="G72" i="20"/>
  <c r="G71" i="20"/>
  <c r="G70" i="20"/>
  <c r="G69" i="20"/>
  <c r="G68" i="20"/>
  <c r="G66" i="20"/>
  <c r="G65" i="20"/>
  <c r="G64" i="20"/>
  <c r="G62" i="20"/>
  <c r="G61" i="20"/>
  <c r="G58" i="20"/>
  <c r="G57" i="20"/>
  <c r="G56" i="20"/>
  <c r="G55" i="20"/>
  <c r="G54" i="20"/>
  <c r="G53" i="20"/>
  <c r="G52" i="20"/>
  <c r="G51" i="20"/>
  <c r="G49" i="20"/>
  <c r="G46" i="20"/>
  <c r="G45" i="20"/>
  <c r="G43" i="20"/>
  <c r="G42" i="20"/>
  <c r="G41" i="20"/>
  <c r="G40" i="20"/>
  <c r="G38" i="20"/>
  <c r="G37" i="20"/>
  <c r="G36" i="20"/>
  <c r="G35" i="20"/>
  <c r="G34" i="20"/>
  <c r="G33" i="20"/>
  <c r="G32" i="20"/>
  <c r="G30" i="20"/>
  <c r="G26" i="20"/>
  <c r="G25" i="20"/>
  <c r="G24" i="20"/>
  <c r="G23" i="20"/>
  <c r="G22" i="20"/>
  <c r="G19" i="20"/>
  <c r="G18" i="20"/>
  <c r="G17" i="20"/>
  <c r="G16" i="20"/>
  <c r="G14" i="20"/>
  <c r="G12" i="20"/>
  <c r="G11" i="20"/>
  <c r="G9" i="20"/>
  <c r="G8" i="20"/>
  <c r="C10" i="16"/>
  <c r="D143" i="21" l="1"/>
  <c r="E143" i="21"/>
  <c r="G117" i="8"/>
  <c r="H25" i="2" s="1"/>
  <c r="F117" i="8"/>
  <c r="E117" i="8"/>
  <c r="D117" i="8"/>
  <c r="D32" i="2"/>
  <c r="D40" i="2"/>
  <c r="D39" i="2"/>
  <c r="D38" i="2"/>
  <c r="D36" i="2"/>
  <c r="D30" i="2"/>
  <c r="D28" i="2"/>
  <c r="D18" i="2"/>
  <c r="D17" i="2"/>
  <c r="D16" i="2"/>
  <c r="D15" i="2"/>
  <c r="D14" i="2"/>
  <c r="D8" i="2"/>
  <c r="H117" i="8" l="1"/>
  <c r="E83" i="20" s="1"/>
  <c r="D13" i="2"/>
  <c r="D12" i="2"/>
  <c r="D43" i="2" s="1"/>
  <c r="F22" i="19"/>
  <c r="E22" i="19"/>
  <c r="D22" i="19"/>
  <c r="G83" i="20" l="1"/>
  <c r="G15" i="19"/>
  <c r="D97" i="20" s="1"/>
  <c r="G97" i="20" s="1"/>
  <c r="G18" i="19"/>
  <c r="D127" i="20" s="1"/>
  <c r="G127" i="20" s="1"/>
  <c r="G20" i="19"/>
  <c r="G19" i="19"/>
  <c r="D148" i="20" s="1"/>
  <c r="G148" i="20" s="1"/>
  <c r="G17" i="19"/>
  <c r="D118" i="20" s="1"/>
  <c r="G118" i="20" s="1"/>
  <c r="G21" i="19"/>
  <c r="G16" i="19"/>
  <c r="D110" i="20" s="1"/>
  <c r="G110" i="20" s="1"/>
  <c r="G6" i="19"/>
  <c r="D10" i="20" s="1"/>
  <c r="G7" i="19"/>
  <c r="D20" i="20" s="1"/>
  <c r="G20" i="20" s="1"/>
  <c r="G8" i="19"/>
  <c r="D21" i="20" s="1"/>
  <c r="G21" i="20" s="1"/>
  <c r="G9" i="19"/>
  <c r="D28" i="20" s="1"/>
  <c r="G28" i="20" s="1"/>
  <c r="G12" i="19"/>
  <c r="D48" i="20" s="1"/>
  <c r="G48" i="20" s="1"/>
  <c r="G10" i="19"/>
  <c r="D31" i="20" s="1"/>
  <c r="G31" i="20" s="1"/>
  <c r="G11" i="19"/>
  <c r="D39" i="20" s="1"/>
  <c r="G39" i="20" s="1"/>
  <c r="G13" i="19"/>
  <c r="D60" i="20" s="1"/>
  <c r="G60" i="20" s="1"/>
  <c r="G22" i="19" l="1"/>
  <c r="H15" i="11"/>
  <c r="G15" i="11"/>
  <c r="F15" i="11"/>
  <c r="I8" i="11"/>
  <c r="I9" i="11"/>
  <c r="I10" i="11"/>
  <c r="I11" i="11"/>
  <c r="I12" i="11"/>
  <c r="D132" i="20" s="1"/>
  <c r="G132" i="20" s="1"/>
  <c r="I13" i="11"/>
  <c r="I14" i="11"/>
  <c r="D27" i="20" s="1"/>
  <c r="I7" i="11"/>
  <c r="D167" i="20" l="1"/>
  <c r="G27" i="20"/>
  <c r="I15" i="11"/>
  <c r="G674" i="8"/>
  <c r="F31" i="2" s="1"/>
  <c r="G884" i="8"/>
  <c r="F41" i="2" s="1"/>
  <c r="F884" i="8"/>
  <c r="E884" i="8"/>
  <c r="D884" i="8"/>
  <c r="H432" i="8" l="1"/>
  <c r="H884" i="8" l="1"/>
  <c r="F159" i="20" s="1"/>
  <c r="G159" i="20" s="1"/>
  <c r="G537" i="8"/>
  <c r="F23" i="2" s="1"/>
  <c r="F537" i="8"/>
  <c r="E537" i="8"/>
  <c r="D537" i="8"/>
  <c r="H536" i="8"/>
  <c r="H537" i="8" s="1"/>
  <c r="F50" i="20" s="1"/>
  <c r="G50" i="20" s="1"/>
  <c r="G62" i="5"/>
  <c r="F131" i="5"/>
  <c r="E131" i="5"/>
  <c r="D131" i="5"/>
  <c r="G130" i="5"/>
  <c r="E124" i="5"/>
  <c r="E120" i="5"/>
  <c r="F118" i="5"/>
  <c r="D24" i="3" s="1"/>
  <c r="D118" i="5"/>
  <c r="G117" i="5"/>
  <c r="E118" i="5"/>
  <c r="G72" i="5"/>
  <c r="G73" i="5" s="1"/>
  <c r="E72" i="5"/>
  <c r="E73" i="5" s="1"/>
  <c r="F63" i="5"/>
  <c r="E63" i="5"/>
  <c r="D63" i="5"/>
  <c r="F53" i="5"/>
  <c r="D53" i="5"/>
  <c r="G52" i="5"/>
  <c r="E52" i="5"/>
  <c r="E38" i="5"/>
  <c r="D35" i="5"/>
  <c r="D152" i="5" s="1"/>
  <c r="F35" i="5"/>
  <c r="E35" i="5"/>
  <c r="G34" i="5"/>
  <c r="F57" i="5"/>
  <c r="D16" i="3" s="1"/>
  <c r="E57" i="5"/>
  <c r="D57" i="5"/>
  <c r="G56" i="5"/>
  <c r="G57" i="5" s="1"/>
  <c r="F22" i="5"/>
  <c r="D22" i="5"/>
  <c r="G21" i="5"/>
  <c r="E21" i="5"/>
  <c r="E22" i="5" s="1"/>
  <c r="E12" i="5"/>
  <c r="H210" i="8"/>
  <c r="E212" i="8"/>
  <c r="E748" i="8"/>
  <c r="E752" i="8"/>
  <c r="E713" i="8"/>
  <c r="E703" i="8"/>
  <c r="D78" i="5"/>
  <c r="F78" i="5"/>
  <c r="D20" i="3" s="1"/>
  <c r="E78" i="5"/>
  <c r="G77" i="5"/>
  <c r="G76" i="5"/>
  <c r="G647" i="8"/>
  <c r="F647" i="8"/>
  <c r="E647" i="8"/>
  <c r="H644" i="8"/>
  <c r="H645" i="8"/>
  <c r="H646" i="8"/>
  <c r="H643" i="8"/>
  <c r="D647" i="8"/>
  <c r="H642" i="8"/>
  <c r="H641" i="8"/>
  <c r="H640" i="8"/>
  <c r="H639" i="8"/>
  <c r="H638" i="8"/>
  <c r="H637" i="8"/>
  <c r="H636" i="8"/>
  <c r="H635" i="8"/>
  <c r="H634" i="8"/>
  <c r="H633" i="8"/>
  <c r="H632" i="8"/>
  <c r="H631" i="8"/>
  <c r="H630" i="8"/>
  <c r="E424" i="8"/>
  <c r="E430" i="8"/>
  <c r="E437" i="8"/>
  <c r="F82" i="5"/>
  <c r="E82" i="5"/>
  <c r="D82" i="5"/>
  <c r="G81" i="5"/>
  <c r="G82" i="5" s="1"/>
  <c r="D21" i="3" l="1"/>
  <c r="F152" i="5"/>
  <c r="H647" i="8"/>
  <c r="F85" i="20" s="1"/>
  <c r="G85" i="20" s="1"/>
  <c r="G78" i="5"/>
  <c r="F26" i="5"/>
  <c r="D10" i="3" s="1"/>
  <c r="E26" i="5"/>
  <c r="D26" i="5"/>
  <c r="G25" i="5"/>
  <c r="G26" i="5" s="1"/>
  <c r="H267" i="8"/>
  <c r="G270" i="8"/>
  <c r="F7" i="2" s="1"/>
  <c r="F270" i="8"/>
  <c r="E270" i="8"/>
  <c r="D270" i="8"/>
  <c r="H269" i="8"/>
  <c r="H268" i="8"/>
  <c r="H266" i="8"/>
  <c r="H265" i="8"/>
  <c r="H264" i="8"/>
  <c r="H263" i="8"/>
  <c r="D9" i="3"/>
  <c r="G20" i="5"/>
  <c r="G22" i="5" s="1"/>
  <c r="H146" i="8"/>
  <c r="G149" i="8"/>
  <c r="H37" i="2" s="1"/>
  <c r="F149" i="8"/>
  <c r="E149" i="8"/>
  <c r="D149" i="8"/>
  <c r="H148" i="8"/>
  <c r="H147" i="8"/>
  <c r="H145" i="8"/>
  <c r="H144" i="8"/>
  <c r="H143" i="8"/>
  <c r="H142" i="8"/>
  <c r="H141" i="8"/>
  <c r="H140" i="8"/>
  <c r="H139" i="8"/>
  <c r="H14" i="18"/>
  <c r="G14" i="18"/>
  <c r="F14" i="18"/>
  <c r="I13" i="18"/>
  <c r="I14" i="18" s="1"/>
  <c r="H83" i="8"/>
  <c r="H82" i="8"/>
  <c r="H81" i="8"/>
  <c r="H80" i="8"/>
  <c r="G84" i="8"/>
  <c r="F84" i="8"/>
  <c r="E84" i="8"/>
  <c r="D84" i="8"/>
  <c r="H79" i="8"/>
  <c r="H78" i="8"/>
  <c r="H77" i="8"/>
  <c r="H76" i="8"/>
  <c r="H75" i="8"/>
  <c r="H74" i="8"/>
  <c r="G302" i="8"/>
  <c r="F8" i="2" s="1"/>
  <c r="F302" i="8"/>
  <c r="E302" i="8"/>
  <c r="D302" i="8"/>
  <c r="H301" i="8"/>
  <c r="H300" i="8"/>
  <c r="H299" i="8"/>
  <c r="H298" i="8"/>
  <c r="H297" i="8"/>
  <c r="H296" i="8"/>
  <c r="F47" i="5"/>
  <c r="E47" i="5"/>
  <c r="D47" i="5"/>
  <c r="G46" i="5"/>
  <c r="G45" i="5"/>
  <c r="H26" i="2" l="1"/>
  <c r="E79" i="20"/>
  <c r="G79" i="20" s="1"/>
  <c r="H270" i="8"/>
  <c r="F7" i="20" s="1"/>
  <c r="G7" i="20" s="1"/>
  <c r="H149" i="8"/>
  <c r="E147" i="20" s="1"/>
  <c r="G147" i="20" s="1"/>
  <c r="H84" i="8"/>
  <c r="H302" i="8"/>
  <c r="F10" i="20" s="1"/>
  <c r="G10" i="20" s="1"/>
  <c r="F674" i="8"/>
  <c r="E674" i="8"/>
  <c r="D674" i="8"/>
  <c r="H673" i="8"/>
  <c r="H672" i="8"/>
  <c r="H671" i="8"/>
  <c r="H670" i="8"/>
  <c r="H669" i="8"/>
  <c r="H668" i="8"/>
  <c r="H667" i="8"/>
  <c r="H666" i="8"/>
  <c r="H665" i="8"/>
  <c r="H664" i="8"/>
  <c r="H663" i="8"/>
  <c r="H662" i="8"/>
  <c r="H661" i="8"/>
  <c r="H660" i="8"/>
  <c r="F8" i="5"/>
  <c r="E8" i="5"/>
  <c r="D8" i="5"/>
  <c r="F125" i="5"/>
  <c r="D26" i="3" s="1"/>
  <c r="E125" i="5"/>
  <c r="D23" i="3"/>
  <c r="E114" i="5"/>
  <c r="D114" i="5"/>
  <c r="G113" i="5"/>
  <c r="G112" i="5"/>
  <c r="G111" i="5"/>
  <c r="G145" i="5"/>
  <c r="G61" i="5"/>
  <c r="G60" i="5"/>
  <c r="D17" i="3"/>
  <c r="F151" i="5"/>
  <c r="E151" i="5"/>
  <c r="D151" i="5"/>
  <c r="G150" i="5"/>
  <c r="G151" i="5" s="1"/>
  <c r="G124" i="5"/>
  <c r="D125" i="5"/>
  <c r="D30" i="5"/>
  <c r="E30" i="5"/>
  <c r="F30" i="5"/>
  <c r="D11" i="3" s="1"/>
  <c r="G29" i="5"/>
  <c r="G30" i="5" s="1"/>
  <c r="G33" i="5"/>
  <c r="G35" i="5" s="1"/>
  <c r="G152" i="5" s="1"/>
  <c r="D12" i="3"/>
  <c r="G51" i="5"/>
  <c r="E50" i="5"/>
  <c r="E53" i="5" s="1"/>
  <c r="G118" i="5"/>
  <c r="H706" i="8"/>
  <c r="D31" i="3" l="1"/>
  <c r="H43" i="2"/>
  <c r="G102" i="20"/>
  <c r="E167" i="20"/>
  <c r="D30" i="3"/>
  <c r="G63" i="5"/>
  <c r="H674" i="8"/>
  <c r="F117" i="20" s="1"/>
  <c r="G117" i="20" s="1"/>
  <c r="G114" i="5"/>
  <c r="G125" i="5"/>
  <c r="G768" i="8" l="1"/>
  <c r="F34" i="2" s="1"/>
  <c r="F768" i="8"/>
  <c r="E768" i="8"/>
  <c r="D768" i="8"/>
  <c r="G714" i="8"/>
  <c r="F33" i="2" s="1"/>
  <c r="F714" i="8"/>
  <c r="E714" i="8"/>
  <c r="D714" i="8"/>
  <c r="H693" i="8"/>
  <c r="H694" i="8"/>
  <c r="H695" i="8"/>
  <c r="H696" i="8"/>
  <c r="H697" i="8"/>
  <c r="H698" i="8"/>
  <c r="H699" i="8"/>
  <c r="H700" i="8"/>
  <c r="H701" i="8"/>
  <c r="H702" i="8"/>
  <c r="H703" i="8"/>
  <c r="H704" i="8"/>
  <c r="H705" i="8"/>
  <c r="H708" i="8"/>
  <c r="H709" i="8"/>
  <c r="H710" i="8"/>
  <c r="H711" i="8"/>
  <c r="H712" i="8"/>
  <c r="H713" i="8"/>
  <c r="H692" i="8"/>
  <c r="H714" i="8" l="1"/>
  <c r="F119" i="20" s="1"/>
  <c r="H54" i="7"/>
  <c r="G54" i="7"/>
  <c r="F54" i="7"/>
  <c r="I54" i="7"/>
  <c r="H51" i="7"/>
  <c r="G51" i="7"/>
  <c r="F51" i="7"/>
  <c r="I51" i="7"/>
  <c r="H48" i="7"/>
  <c r="G48" i="7"/>
  <c r="F48" i="7"/>
  <c r="I48" i="7"/>
  <c r="H46" i="7"/>
  <c r="G46" i="7"/>
  <c r="F46" i="7"/>
  <c r="I46" i="7"/>
  <c r="H41" i="7"/>
  <c r="G41" i="7"/>
  <c r="F41" i="7"/>
  <c r="I41" i="7"/>
  <c r="H38" i="7"/>
  <c r="G38" i="7"/>
  <c r="F38" i="7"/>
  <c r="I38" i="7"/>
  <c r="H35" i="7"/>
  <c r="G35" i="7"/>
  <c r="F35" i="7"/>
  <c r="I35" i="7"/>
  <c r="H32" i="7"/>
  <c r="G32" i="7"/>
  <c r="F32" i="7"/>
  <c r="I32" i="7"/>
  <c r="H30" i="7"/>
  <c r="G30" i="7"/>
  <c r="F30" i="7"/>
  <c r="I30" i="7"/>
  <c r="H27" i="7"/>
  <c r="G27" i="7"/>
  <c r="F27" i="7"/>
  <c r="H22" i="7"/>
  <c r="G22" i="7"/>
  <c r="F22" i="7"/>
  <c r="I22" i="7"/>
  <c r="H19" i="7"/>
  <c r="G19" i="7"/>
  <c r="F19" i="7"/>
  <c r="I19" i="7"/>
  <c r="H16" i="7"/>
  <c r="F16" i="7"/>
  <c r="H13" i="7"/>
  <c r="F13" i="7"/>
  <c r="G12" i="7"/>
  <c r="G13" i="7" l="1"/>
  <c r="I12" i="7"/>
  <c r="I13" i="7" s="1"/>
  <c r="I16" i="7"/>
  <c r="I27" i="7"/>
  <c r="G119" i="20" l="1"/>
  <c r="H10" i="7"/>
  <c r="F17" i="5" l="1"/>
  <c r="D8" i="3" s="1"/>
  <c r="E17" i="5"/>
  <c r="D17" i="5"/>
  <c r="G16" i="5"/>
  <c r="G17" i="5" s="1"/>
  <c r="G135" i="5"/>
  <c r="G134" i="5"/>
  <c r="F136" i="5"/>
  <c r="E136" i="5"/>
  <c r="D136" i="5"/>
  <c r="G821" i="8"/>
  <c r="F35" i="2" s="1"/>
  <c r="F821" i="8"/>
  <c r="E821" i="8"/>
  <c r="D821" i="8"/>
  <c r="H820" i="8"/>
  <c r="H819" i="8"/>
  <c r="H818" i="8"/>
  <c r="H817" i="8"/>
  <c r="H816" i="8"/>
  <c r="H815" i="8"/>
  <c r="H814" i="8"/>
  <c r="H813" i="8"/>
  <c r="H812" i="8"/>
  <c r="H811" i="8"/>
  <c r="H810" i="8"/>
  <c r="H809" i="8"/>
  <c r="H808" i="8"/>
  <c r="H807" i="8"/>
  <c r="H806" i="8"/>
  <c r="H805" i="8"/>
  <c r="H599" i="8"/>
  <c r="H600" i="8"/>
  <c r="H601" i="8"/>
  <c r="H602" i="8"/>
  <c r="G603" i="8"/>
  <c r="F603" i="8"/>
  <c r="E603" i="8"/>
  <c r="D603" i="8"/>
  <c r="H598" i="8"/>
  <c r="F68" i="5"/>
  <c r="D18" i="3" s="1"/>
  <c r="E68" i="5"/>
  <c r="D68" i="5"/>
  <c r="G67" i="5"/>
  <c r="G66" i="5"/>
  <c r="G476" i="8"/>
  <c r="F20" i="2" s="1"/>
  <c r="F476" i="8"/>
  <c r="E476" i="8"/>
  <c r="D476" i="8"/>
  <c r="H475" i="8"/>
  <c r="H474" i="8"/>
  <c r="D28" i="3" l="1"/>
  <c r="F24" i="2"/>
  <c r="G68" i="5"/>
  <c r="G136" i="5"/>
  <c r="H821" i="8"/>
  <c r="F124" i="20" s="1"/>
  <c r="G124" i="20" s="1"/>
  <c r="H603" i="8"/>
  <c r="F80" i="20" s="1"/>
  <c r="G80" i="20" s="1"/>
  <c r="H476" i="8"/>
  <c r="F67" i="20" s="1"/>
  <c r="G67" i="20" s="1"/>
  <c r="H7" i="7" l="1"/>
  <c r="H63" i="7" s="1"/>
  <c r="G7" i="7"/>
  <c r="F7" i="7"/>
  <c r="I7" i="7"/>
  <c r="H766" i="8" l="1"/>
  <c r="F121" i="5" l="1"/>
  <c r="E121" i="5"/>
  <c r="D121" i="5"/>
  <c r="G120" i="5"/>
  <c r="G121" i="5" s="1"/>
  <c r="G50" i="5"/>
  <c r="G53" i="5" s="1"/>
  <c r="D15" i="3"/>
  <c r="D14" i="3"/>
  <c r="G43" i="5"/>
  <c r="G47" i="5" s="1"/>
  <c r="H359" i="8"/>
  <c r="H360" i="8"/>
  <c r="H361" i="8"/>
  <c r="H362" i="8"/>
  <c r="G366" i="8"/>
  <c r="F10" i="2" s="1"/>
  <c r="D366" i="8"/>
  <c r="H365" i="8"/>
  <c r="H364" i="8"/>
  <c r="H363" i="8"/>
  <c r="H358" i="8"/>
  <c r="H357" i="8"/>
  <c r="G328" i="8"/>
  <c r="F9" i="2" s="1"/>
  <c r="F328" i="8"/>
  <c r="E328" i="8"/>
  <c r="D328" i="8"/>
  <c r="H327" i="8"/>
  <c r="H326" i="8"/>
  <c r="G12" i="5"/>
  <c r="G11" i="5"/>
  <c r="F13" i="5"/>
  <c r="E13" i="5"/>
  <c r="D13" i="5"/>
  <c r="G7" i="5"/>
  <c r="G8" i="5" s="1"/>
  <c r="D6" i="3"/>
  <c r="G226" i="8"/>
  <c r="F6" i="2" s="1"/>
  <c r="F226" i="8"/>
  <c r="E226" i="8"/>
  <c r="D226" i="8"/>
  <c r="H225" i="8"/>
  <c r="H224" i="8"/>
  <c r="H223" i="8"/>
  <c r="H221" i="8"/>
  <c r="H220" i="8"/>
  <c r="H219" i="8"/>
  <c r="H218" i="8"/>
  <c r="H217" i="8"/>
  <c r="H216" i="8"/>
  <c r="H215" i="8"/>
  <c r="H214" i="8"/>
  <c r="H213" i="8"/>
  <c r="H212" i="8"/>
  <c r="H211" i="8"/>
  <c r="H209" i="8"/>
  <c r="H208" i="8"/>
  <c r="H207" i="8"/>
  <c r="H206" i="8"/>
  <c r="H205" i="8"/>
  <c r="H204" i="8"/>
  <c r="D25" i="3" l="1"/>
  <c r="D7" i="3"/>
  <c r="G13" i="5"/>
  <c r="H366" i="8"/>
  <c r="F15" i="20" s="1"/>
  <c r="G15" i="20" s="1"/>
  <c r="H328" i="8"/>
  <c r="F13" i="20" s="1"/>
  <c r="G13" i="20" s="1"/>
  <c r="H226" i="8"/>
  <c r="F6" i="20" s="1"/>
  <c r="F40" i="5"/>
  <c r="E40" i="5"/>
  <c r="D40" i="5"/>
  <c r="G39" i="5"/>
  <c r="G38" i="5"/>
  <c r="H436" i="8"/>
  <c r="H437" i="8"/>
  <c r="G129" i="5"/>
  <c r="H761" i="8"/>
  <c r="H762" i="8"/>
  <c r="H763" i="8"/>
  <c r="H765" i="8"/>
  <c r="H767" i="8"/>
  <c r="G6" i="20" l="1"/>
  <c r="D13" i="3"/>
  <c r="D27" i="3"/>
  <c r="G40" i="5"/>
  <c r="D32" i="3" l="1"/>
  <c r="H11" i="18"/>
  <c r="G11" i="18"/>
  <c r="F11" i="18"/>
  <c r="I10" i="18"/>
  <c r="I7" i="18"/>
  <c r="I11" i="18" l="1"/>
  <c r="H753" i="8" l="1"/>
  <c r="H745" i="8"/>
  <c r="D7" i="22"/>
  <c r="H8" i="18"/>
  <c r="H21" i="18" s="1"/>
  <c r="G8" i="18"/>
  <c r="G21" i="18" s="1"/>
  <c r="F8" i="18"/>
  <c r="F21" i="18" s="1"/>
  <c r="G128" i="5" l="1"/>
  <c r="G131" i="5" s="1"/>
  <c r="H749" i="8"/>
  <c r="H750" i="8"/>
  <c r="H751" i="8"/>
  <c r="H752" i="8"/>
  <c r="H754" i="8"/>
  <c r="H755" i="8"/>
  <c r="H756" i="8"/>
  <c r="H757" i="8"/>
  <c r="H758" i="8"/>
  <c r="H759" i="8"/>
  <c r="H760" i="8"/>
  <c r="H748" i="8"/>
  <c r="H747" i="8"/>
  <c r="H746" i="8"/>
  <c r="H768" i="8" l="1"/>
  <c r="F121" i="20" s="1"/>
  <c r="G121" i="20" s="1"/>
  <c r="G10" i="7" l="1"/>
  <c r="G63" i="7" s="1"/>
  <c r="F10" i="7"/>
  <c r="F63" i="7" s="1"/>
  <c r="I8" i="18"/>
  <c r="I21" i="18" s="1"/>
  <c r="H419" i="8" l="1"/>
  <c r="F446" i="8" l="1"/>
  <c r="I10" i="7" l="1"/>
  <c r="I63" i="7" s="1"/>
  <c r="E446" i="8" l="1"/>
  <c r="D446" i="8"/>
  <c r="H445" i="8"/>
  <c r="H444" i="8"/>
  <c r="H443" i="8"/>
  <c r="H442" i="8"/>
  <c r="H441" i="8"/>
  <c r="H440" i="8"/>
  <c r="H439" i="8"/>
  <c r="H438" i="8"/>
  <c r="H435" i="8"/>
  <c r="H433" i="8"/>
  <c r="H431" i="8"/>
  <c r="H430" i="8"/>
  <c r="H429" i="8"/>
  <c r="H428" i="8"/>
  <c r="H427" i="8"/>
  <c r="H426" i="8"/>
  <c r="H425" i="8"/>
  <c r="H424" i="8"/>
  <c r="H423" i="8"/>
  <c r="H422" i="8"/>
  <c r="H421" i="8"/>
  <c r="H420" i="8"/>
  <c r="H418" i="8"/>
  <c r="H417" i="8"/>
  <c r="H416" i="8"/>
  <c r="F19" i="2" l="1"/>
  <c r="F43" i="2" s="1"/>
  <c r="H446" i="8"/>
  <c r="F63" i="20" s="1"/>
  <c r="F167" i="20" s="1"/>
  <c r="G63" i="20" l="1"/>
  <c r="G167" i="20" s="1"/>
  <c r="H16" i="11"/>
  <c r="C6" i="4" s="1"/>
  <c r="G16" i="11"/>
  <c r="F16" i="11"/>
  <c r="I16" i="11" l="1"/>
  <c r="C13" i="4" l="1"/>
  <c r="C7" i="4" l="1"/>
  <c r="C8" i="4" s="1"/>
  <c r="C19" i="4" s="1"/>
  <c r="C14" i="4" l="1"/>
  <c r="C15" i="4" l="1"/>
  <c r="F44" i="2"/>
  <c r="C9" i="4" s="1"/>
  <c r="C10" i="4" s="1"/>
  <c r="C20" i="4" l="1"/>
</calcChain>
</file>

<file path=xl/sharedStrings.xml><?xml version="1.0" encoding="utf-8"?>
<sst xmlns="http://schemas.openxmlformats.org/spreadsheetml/2006/main" count="2918" uniqueCount="1498">
  <si>
    <t>S/N</t>
  </si>
  <si>
    <t>MDAs</t>
  </si>
  <si>
    <t>PAGE</t>
  </si>
  <si>
    <t>Total</t>
  </si>
  <si>
    <t>Grand Total</t>
  </si>
  <si>
    <t>A: RECURRENT EXPENDITURE</t>
  </si>
  <si>
    <t>B: CAPITAL EXPENDITURE</t>
  </si>
  <si>
    <t>ONDO STATE OF NIGERIA</t>
  </si>
  <si>
    <t>A: RECURRENT</t>
  </si>
  <si>
    <t>SUMMARY OF POOLED FUNDS</t>
  </si>
  <si>
    <t>AMOUNT (N)</t>
  </si>
  <si>
    <t>Personnel Cost</t>
  </si>
  <si>
    <t>Special Programme</t>
  </si>
  <si>
    <t>B: CAPITAL</t>
  </si>
  <si>
    <t>Total Pooled Fund from Capital</t>
  </si>
  <si>
    <t>PROJECT DETAILS</t>
  </si>
  <si>
    <t>ADMIN CODE</t>
  </si>
  <si>
    <t>ECONOMIC CODE</t>
  </si>
  <si>
    <t>PROJECT DISCRIPTION AND LOCATION</t>
  </si>
  <si>
    <t xml:space="preserve">ADITIONAL PROVISION   M'N       </t>
  </si>
  <si>
    <t>4</t>
  </si>
  <si>
    <t>6</t>
  </si>
  <si>
    <t>7</t>
  </si>
  <si>
    <t>ONDO STATE JUDICIARY</t>
  </si>
  <si>
    <t>ORANGE FM</t>
  </si>
  <si>
    <t>GENERAL ADMINISTRATION</t>
  </si>
  <si>
    <t>GRAND TOTAL</t>
  </si>
  <si>
    <t>MIN./DEPT/AGENCY</t>
  </si>
  <si>
    <t>DETAILS</t>
  </si>
  <si>
    <t>AMOUNT DEDUCTED</t>
  </si>
  <si>
    <t>9</t>
  </si>
  <si>
    <t xml:space="preserve"> GRAND TOTAL</t>
  </si>
  <si>
    <t>DETAILS OF POOLED FUND UNDER CAPITAL</t>
  </si>
  <si>
    <t>PROJECT DISCRIPTION</t>
  </si>
  <si>
    <t>SPECIAL PROGRAMMES</t>
  </si>
  <si>
    <t>Economic Code</t>
  </si>
  <si>
    <t xml:space="preserve">Details </t>
  </si>
  <si>
    <t>Additional Provision</t>
  </si>
  <si>
    <t>TOTAL</t>
  </si>
  <si>
    <t>GOVERNOR'S OFFICE-GOVERNMENT HOUSE AND PROTOCOL</t>
  </si>
  <si>
    <t>DEPUTY GOVERNOR'S OFFICE</t>
  </si>
  <si>
    <t>ONDO STATE BOUNDARY COMMISSION</t>
  </si>
  <si>
    <t>STATE EMERGENCY MANAGEMENT AGENCY (SEMA)</t>
  </si>
  <si>
    <t>LIAISON OFFICE, LAGOS</t>
  </si>
  <si>
    <t>LIAISON OFFICE, ABUJA</t>
  </si>
  <si>
    <t>ONDO STATE AGENCY FOR THE CONTROL OF AIDS (ODSACA)</t>
  </si>
  <si>
    <t>MUSLIM WELFARE BOARD</t>
  </si>
  <si>
    <t>CHRISTIAN WELFARE BOARD</t>
  </si>
  <si>
    <t>POOLS BETTINGS AND LOTTERIES BOARD</t>
  </si>
  <si>
    <t>INTER-GOVERNMENTAL AFFAIRS AND MULTILATERAL RELATIONS</t>
  </si>
  <si>
    <t>STATE HOUSE OF ASSEMBLY</t>
  </si>
  <si>
    <t>HOUSE OF ASSEMBLY COMMISSION</t>
  </si>
  <si>
    <t>ONDO STATE RADIOVISION CORPORATION</t>
  </si>
  <si>
    <t>OFFICE OF THE HEAD OF SERVICE</t>
  </si>
  <si>
    <t>PUBLIC SERVICE TRAINING INSTITUTE</t>
  </si>
  <si>
    <t>OFFICE OF ESTABLISHMENTS</t>
  </si>
  <si>
    <t>OFFICE OF THE STATE AUDITOR GENERAL</t>
  </si>
  <si>
    <t>OFFICE OF AUDITOR GENERAL FOR LOCAL GOVERNMENT</t>
  </si>
  <si>
    <t>CIVIL SERVICE COMMISSION</t>
  </si>
  <si>
    <t>ONDO STATE INDEPENDENT ELECTORAL COMMISSION (ODIEC)</t>
  </si>
  <si>
    <t>AGRICULTURAL DEVELOPMENT PROGRAMME</t>
  </si>
  <si>
    <t>AGRICULTURAL INPUT AND SUPPLY AGENCY</t>
  </si>
  <si>
    <t>AGRO-CLIMATOLOGICAL AND ECOLOGICAL PROJECT</t>
  </si>
  <si>
    <t>COCOA REVOLUTION OFFICE</t>
  </si>
  <si>
    <t>MINISTRY OF FINANCE</t>
  </si>
  <si>
    <t>DEBT MANAGEMENT OFFICE</t>
  </si>
  <si>
    <t>OFFICE OF THE ACCOUNTANT GENERAL</t>
  </si>
  <si>
    <t>MICRO CREDIT AGENCY</t>
  </si>
  <si>
    <t>STATE INFORMATION TECHNOLOGY AGENCY (SITA)</t>
  </si>
  <si>
    <t>ONDO STATE ELECTRICITY BOARD</t>
  </si>
  <si>
    <t>ONDO STATE AGENCY FOR ROAD MAINTENANCE AND CONSTRUCTION (OSAMCO)</t>
  </si>
  <si>
    <t>MINISTRY OF CULTURE AND TOURISM</t>
  </si>
  <si>
    <t>MINISTRY OF ECONOMIC PLANNING AND BUDGET</t>
  </si>
  <si>
    <t>ONDO STATE BUREAU OF STATISTICS</t>
  </si>
  <si>
    <t>ONDO STATE WATER CORPORATION</t>
  </si>
  <si>
    <t>ONDO STATE DEVELOPMENT AND PROPERTY CORPORATION</t>
  </si>
  <si>
    <t>DIRECT LABOUR AGENCY</t>
  </si>
  <si>
    <t>MINISTRY OF LANDS AND HOUSING</t>
  </si>
  <si>
    <t>ONDO STATE JUDICIAL SERVICE COMMISSION</t>
  </si>
  <si>
    <t>MINISTRY OF JUSTICE</t>
  </si>
  <si>
    <t>ONDO STATE LAW COMMISSION</t>
  </si>
  <si>
    <t>CUSTOMARY COURT OF APPEAL</t>
  </si>
  <si>
    <t>ONDO STATE FOOTBALL DEVELOPMENT AGENCY</t>
  </si>
  <si>
    <t>MINISTRY OF WOMEN AFFAIRS AND SOCIAL DEVELOPMENT</t>
  </si>
  <si>
    <t>AGENCY FOR THE WELFARE OF THE PHYSICALLY CHALLENGED PERSONS</t>
  </si>
  <si>
    <t>STATE UNIVERSAL BASIC EDUCATION BOARD (SUBEB) HEADQUARTERS</t>
  </si>
  <si>
    <t>ONDO STATE LIBRARY BOARD</t>
  </si>
  <si>
    <t>RUFUS GIWA POLYTECHNIC, OWO</t>
  </si>
  <si>
    <t>ADEKUNLE AJASIN UNIVERSITY, AKUNGBA AKOKO</t>
  </si>
  <si>
    <t>ONDO STATE UNIVERSITY OF MEDICAL SCIENCES</t>
  </si>
  <si>
    <t>TEACHING SERVICE COMMISSION</t>
  </si>
  <si>
    <t>ONDO STATE SCHOLARSHIP BOARD</t>
  </si>
  <si>
    <t>MINISTRY OF HEALTH</t>
  </si>
  <si>
    <t>SCHOOL OF HEALTH TECHNOLOGY</t>
  </si>
  <si>
    <t>NEURO-PSYCHIATRIC SPECIALIST HOSPITAL</t>
  </si>
  <si>
    <t>ONDO STATE WASTE MANAGEMENT</t>
  </si>
  <si>
    <t>ONDO STATE SPORTS COUNCIL</t>
  </si>
  <si>
    <t>LOCAL GOVERNMENT SERVICE COMMISSION</t>
  </si>
  <si>
    <t>ONDO STATE COMMUNITY AND SOCIAL DEVELOPMENT AGENCY</t>
  </si>
  <si>
    <t>OFFICE OF THE SECRETARY TO STATE GOVERNMENT (SSG)</t>
  </si>
  <si>
    <t>POLITICAL AND ECONOMIC AFFAIRS DEPARTMENT</t>
  </si>
  <si>
    <t>CABINET AND SPECIAL SERVICES DEPARTMENT</t>
  </si>
  <si>
    <t>STATE PENSION COMMISSION</t>
  </si>
  <si>
    <t>PUBLIC ACCOUNT SECRETARIAT</t>
  </si>
  <si>
    <t>OFFICE OF THE SPEAKER</t>
  </si>
  <si>
    <t>OFFICE OF THE DEPUTY SPEAKER</t>
  </si>
  <si>
    <t>ONDO STATE SIGNAGE AGENCY</t>
  </si>
  <si>
    <t>FIRE SERVICES</t>
  </si>
  <si>
    <t>GOVERNMENT QUARTERS MANAGEMENT OFFICE</t>
  </si>
  <si>
    <t>E-PERSONEL ADMINISTRATION SALARY SYSTEM (E-PASS) OFFICE</t>
  </si>
  <si>
    <t>SERVICE MATTERS DEPARTMENT</t>
  </si>
  <si>
    <t>ONDO STATE INDEPENDENT ELECTORAL COMMISSION (ODIEC) AREA OFFICES</t>
  </si>
  <si>
    <t>FORESTRY STAFF TRAINING SCHOOL, OWO</t>
  </si>
  <si>
    <t>EXPENDITURE OFFICE</t>
  </si>
  <si>
    <t>CONSUMER PROTECTION COMMITTEE</t>
  </si>
  <si>
    <t>BUDGET OFFICE</t>
  </si>
  <si>
    <t>OFFICE OF HONOURABLE CHIEF JUDGE</t>
  </si>
  <si>
    <t>JUDICIARY DIVISION</t>
  </si>
  <si>
    <t>CITIZEN'S RIGHT MEDIATION CENTRE/OFFICE OF PUBLIC DEFENDERS</t>
  </si>
  <si>
    <t>OFFICE OF THE PRESIDENT OF THE CUSTOMARY COURT OF APPEAL</t>
  </si>
  <si>
    <t>CUSTOMARY COURT OF APPEAL - JUDICIAL DIVISIONS</t>
  </si>
  <si>
    <t>ZONAL EDUCATION OFFICES</t>
  </si>
  <si>
    <t>ONDO STATE EDUCATION ENDOWMENT FUND OFFICE</t>
  </si>
  <si>
    <t>STATE UNIVERSAL BASIC EDUCATION BOARD (SUBEB) ZONAL OFFICE</t>
  </si>
  <si>
    <t>MEGA SCHOOLS</t>
  </si>
  <si>
    <t>ZONAL TEACHING SERVICE COMMISSION, AKURE</t>
  </si>
  <si>
    <t>ZONAL TEACHING SERVICE COMMISSION, IKARE</t>
  </si>
  <si>
    <t>ZONAL TEACHING SERVICE COMMISSION, IRELE</t>
  </si>
  <si>
    <t>ZONAL TEACHING SERVICE COMMISSION, ODIGBO</t>
  </si>
  <si>
    <t>ZONAL TEACHING SERVICE COMMISSION, OKA</t>
  </si>
  <si>
    <t>ZONAL TEACHING SERVICE COMMISSION, OKITIPUPA</t>
  </si>
  <si>
    <t>ZONAL TEACHING SERVICE COMMISSION, ONDO</t>
  </si>
  <si>
    <t>ZONAL TEACHING SERVICE COMMISSION, OWENA</t>
  </si>
  <si>
    <t>ZONAL TEACHING SERVICE COMMISSION, OWO</t>
  </si>
  <si>
    <t>BOARD OF ALTERNATIVE MEDICINE</t>
  </si>
  <si>
    <t>MINISTRY OF LOCAL GOVERNMENT AND CHIEFTAINCY AFFAIRS</t>
  </si>
  <si>
    <t>CONSOLIDATED REVENUE FUND CHARGES</t>
  </si>
  <si>
    <t>ALLOCATION TO MINISTRIES/DEPARTMENTS/AGENCIES</t>
  </si>
  <si>
    <t>PERSONNEL COST</t>
  </si>
  <si>
    <t>iv</t>
  </si>
  <si>
    <t>TOTAL POOLED FUND CAPITAL</t>
  </si>
  <si>
    <t>MIN./DEPT./AGENCY</t>
  </si>
  <si>
    <t>Details of Expenditure</t>
  </si>
  <si>
    <t>1</t>
  </si>
  <si>
    <t>2</t>
  </si>
  <si>
    <t>3</t>
  </si>
  <si>
    <t>5</t>
  </si>
  <si>
    <t>OFFICE OF SENIOR SPECIAL ASSISTANTS TO THE GOVERNOR</t>
  </si>
  <si>
    <t>ONDO STATE PENSIONS TRANSITIONAL DEPARTMENT</t>
  </si>
  <si>
    <t>FADAMA PROJECT</t>
  </si>
  <si>
    <t>ONDO STATE UN-REDD+ PROJECT</t>
  </si>
  <si>
    <t>MINISTRY OF PHYSICAL PLANNING AND URBAN DEVELOPMENT</t>
  </si>
  <si>
    <t>052100100100</t>
  </si>
  <si>
    <t xml:space="preserve">ONDO STATE GOVERNMENT OF NIGERIA </t>
  </si>
  <si>
    <t>Transfer to OSOPADEC</t>
  </si>
  <si>
    <t>SPG- Committees and Commissions</t>
  </si>
  <si>
    <t>SPG- Contingency Fund</t>
  </si>
  <si>
    <t>SPG- Insurance of Ondo State Govt. Assets and tracking of vehicles.</t>
  </si>
  <si>
    <t>SPG- Passages and Flights for Overseas Travels</t>
  </si>
  <si>
    <t>SPG- Settlement of Utility Bills</t>
  </si>
  <si>
    <t>SPG- State Security</t>
  </si>
  <si>
    <t>SPG- Seminar and Training for Account Officers</t>
  </si>
  <si>
    <t>SPG- Purchase of Computer Consumables for Ministry</t>
  </si>
  <si>
    <t>SPG- Printing of Release Warrant, DVEA Books and Allied Matters for Expenditure Department</t>
  </si>
  <si>
    <t>SPG- Printing of Payment Request Vouchers</t>
  </si>
  <si>
    <t>SPG- General Training of Accountants in the Civil Service</t>
  </si>
  <si>
    <t>SPG- Mandatory Continuous Professional Development Training Course (MCPD)</t>
  </si>
  <si>
    <t>SPG- Liaison with Debt Mgt. Office (DMO), Abuja</t>
  </si>
  <si>
    <t>SPG- Publicity of Activities of the Ministry</t>
  </si>
  <si>
    <t>SPG- Federation Accounts and Allocation Committee</t>
  </si>
  <si>
    <t>SPG- Consultancy cost for Debt Management Unit</t>
  </si>
  <si>
    <t>SPG- Statutory Allowance of 10% Annual Basic Salary for Retiring Civil Servants</t>
  </si>
  <si>
    <t>SPG- Capacity Building On Financial Management and Control</t>
  </si>
  <si>
    <t>SPG- Capacity building for Appropriation Committee &amp; PAC Members</t>
  </si>
  <si>
    <t>SPG- Min. Of Finance publications; News Letters and News</t>
  </si>
  <si>
    <t>SPG- Special Assignment on Financial Matters</t>
  </si>
  <si>
    <t>SPG- Maintenance of Office Premises</t>
  </si>
  <si>
    <t>SPG- Board of Survey and other Allied Matters</t>
  </si>
  <si>
    <t>SPG- RMAFC Related Matters/Consultancy on Paris Club Refund</t>
  </si>
  <si>
    <t>SPG- Training/Study Tour</t>
  </si>
  <si>
    <t>SPG- Debt Management: Matters Affecting</t>
  </si>
  <si>
    <r>
      <t xml:space="preserve">ADMIN CODE: 022000100100: </t>
    </r>
    <r>
      <rPr>
        <sz val="9"/>
        <color theme="1"/>
        <rFont val="Times New Roman"/>
        <family val="1"/>
      </rPr>
      <t>MINISTRY OF FINANCE</t>
    </r>
  </si>
  <si>
    <r>
      <t xml:space="preserve">ACCOUNTING OFFICER:  </t>
    </r>
    <r>
      <rPr>
        <sz val="9"/>
        <rFont val="Times New Roman"/>
        <family val="1"/>
      </rPr>
      <t>PERMANENT SECRETARY, MINISTRY OF FINANCE</t>
    </r>
  </si>
  <si>
    <t>PERSONNEL (N)</t>
  </si>
  <si>
    <t xml:space="preserve">REMARKS </t>
  </si>
  <si>
    <t>Additional</t>
  </si>
  <si>
    <t>Remarks</t>
  </si>
  <si>
    <t>OFFICE OF PUBLIC UTILITIES</t>
  </si>
  <si>
    <t>TOTAL: MINISTRY OF HEALTH</t>
  </si>
  <si>
    <t>MINISTRY OF ENVIRONMENT</t>
  </si>
  <si>
    <t>ONDO STATE INVESTMENT PROMOTION AGENCY (ONDIPA)</t>
  </si>
  <si>
    <t>REMARKS</t>
  </si>
  <si>
    <t>MINISTRY OF INFORMATION AND ORIENTATION</t>
  </si>
  <si>
    <t>Amount Spent Till Date</t>
  </si>
  <si>
    <t>PERSONNEL DETAILS</t>
  </si>
  <si>
    <t>TOTAL POOLED</t>
  </si>
  <si>
    <t>MINISTRY OF YOUTH AND SPORTS DEVELOPMENT</t>
  </si>
  <si>
    <t>AMOUNT SPENT TILL DATE</t>
  </si>
  <si>
    <t xml:space="preserve">ADDITIONAL PROVISION        </t>
  </si>
  <si>
    <t xml:space="preserve">AMOUNT SPENT TILL DATE      </t>
  </si>
  <si>
    <t>FACILITY</t>
  </si>
  <si>
    <t>OFFICE OF THE SPECIAL ADVISERS TO THE GOVERNOR</t>
  </si>
  <si>
    <t>MINISTRY OF REGIONAL INTEGRATION AND SPECIAL DUTIES</t>
  </si>
  <si>
    <t>INDUSTRIAL AND LABOUR RELATIONS OFFICE</t>
  </si>
  <si>
    <t>MINISTRY OF AGRICULTURE</t>
  </si>
  <si>
    <t>MINISTRY OF COMMERCE, INDUSTRIES AND COOPERATIVES</t>
  </si>
  <si>
    <t>STATE INFORMATION TECHNOLOGY AGENCY (SITA) AREA OFFICES</t>
  </si>
  <si>
    <t>OFFICE OF TRANSPORT</t>
  </si>
  <si>
    <t>OFFICE OF TRANSPORT-VEHICLE INSPECTION (AREA) OFFICE AND INLAND WATERWAYS</t>
  </si>
  <si>
    <t>MINISTRY OF NATURAL RESOURCES</t>
  </si>
  <si>
    <t>MINISTRY OF WORKS AND INFRASTRUCTURE</t>
  </si>
  <si>
    <t>YOUTH EMPLOYMENT AND SOCIAL SUPPORT OPERATIONS (YESSO)</t>
  </si>
  <si>
    <t>ONDO STATE RURAL WATER SUPPLY AND SANITATION AGENCY (RUWASSA)</t>
  </si>
  <si>
    <t>MINISTRY OF EDUCATION, SCIENCE AND TECHNOLOGY</t>
  </si>
  <si>
    <t>BOARD OF ADULT, TECHNICAL AND VOCATIONAL EDUCATION</t>
  </si>
  <si>
    <t>PRIMARY HEALTH CARE MANAGEMENT BOARD</t>
  </si>
  <si>
    <t>DIRECTORATE OF RURAL AND COMMUNITY DEVELOPMENT</t>
  </si>
  <si>
    <t>OWENA PRESS</t>
  </si>
  <si>
    <t>DETAILS OF POOLED FUND UNDER PERSONNEL COST</t>
  </si>
  <si>
    <t>DETAILS OF POOLED FUND UNDER SPECIAL PROGRAMME</t>
  </si>
  <si>
    <t>SPECIAL PROGRAMME</t>
  </si>
  <si>
    <t>052102600100</t>
  </si>
  <si>
    <t>Amount Deducted</t>
  </si>
  <si>
    <t>STATUTORY TRANSFERS</t>
  </si>
  <si>
    <t>014000200100</t>
  </si>
  <si>
    <t>053505300100</t>
  </si>
  <si>
    <t>053905100100</t>
  </si>
  <si>
    <t>MINISTRY OF WATER RESOURCES, PUBLIC SANITATION AND HYGIENE</t>
  </si>
  <si>
    <t>SPG- Capacity Building</t>
  </si>
  <si>
    <t>SPG- Media relations</t>
  </si>
  <si>
    <t>021500100100</t>
  </si>
  <si>
    <t>SPG- Gift Items During Festivities: Christmas/Salah/Children Party</t>
  </si>
  <si>
    <t>021511600100</t>
  </si>
  <si>
    <t>032600100100</t>
  </si>
  <si>
    <t>021511000100</t>
  </si>
  <si>
    <t>052100300100</t>
  </si>
  <si>
    <t>023400100100</t>
  </si>
  <si>
    <t>Ondo State Independent Electoral Commission (ODIEC)</t>
  </si>
  <si>
    <t>Ministry of Finance</t>
  </si>
  <si>
    <t>TOTAL: MINISTRY OF ENVIRONMENT</t>
  </si>
  <si>
    <t>SPG- Maintenance and Management of Emergency Medical Services</t>
  </si>
  <si>
    <t>TOTAL: MINISTRY OF EDUCATION, SCIENCE AND TECHNOLOGY</t>
  </si>
  <si>
    <t>ONDO STATE RURAL ACCESS AND AGRICULTURAL MARKETING PROJECT (RAAMP)</t>
  </si>
  <si>
    <t>TOTAL: OFFICE OF TRANSPORT</t>
  </si>
  <si>
    <t>053500100100</t>
  </si>
  <si>
    <t>025200100100</t>
  </si>
  <si>
    <t>SPG- Hosting of State Guests during Special Events</t>
  </si>
  <si>
    <r>
      <t xml:space="preserve">ADMIN CODE: 011100100100: </t>
    </r>
    <r>
      <rPr>
        <sz val="9"/>
        <color theme="1"/>
        <rFont val="Times New Roman"/>
        <family val="1"/>
      </rPr>
      <t>GOVERNOR'S OFFICE-GOVERNMENT HOUSE AND PROTOCOL</t>
    </r>
  </si>
  <si>
    <r>
      <t xml:space="preserve">ACCOUNTING OFFICER: </t>
    </r>
    <r>
      <rPr>
        <sz val="9"/>
        <rFont val="Times New Roman"/>
        <family val="1"/>
      </rPr>
      <t>PERMANENT SECRETARY, GOVERNOR'S OFFICE-GOVERNMENT HOUSE AND PROTOCOL</t>
    </r>
  </si>
  <si>
    <t>SPG- Donation</t>
  </si>
  <si>
    <t>SPG- Maintenance of Boats</t>
  </si>
  <si>
    <t>SPG- Maintenance of Government House</t>
  </si>
  <si>
    <t>SPG- Settlement of Hotel bills</t>
  </si>
  <si>
    <t>SPG- Programmes for the Office of the SSAs</t>
  </si>
  <si>
    <t>SPG- Supply of Petroleum Product into Fuel Dump</t>
  </si>
  <si>
    <t>SPG- Office of the SSA on Youth and Students' Affairs</t>
  </si>
  <si>
    <t>SPG- Office of the Chief of Staff</t>
  </si>
  <si>
    <t>SPG- Office of SSA on Public Communication</t>
  </si>
  <si>
    <t>SPG- Office of the SSA on Special Duty and Strategy</t>
  </si>
  <si>
    <t>-</t>
  </si>
  <si>
    <t>Governor's Office-Government House and Protocol</t>
  </si>
  <si>
    <t>ONDO STATE UNIVERSITY OF MEDICAL SCIENCES TEACHING HOSPITAL</t>
  </si>
  <si>
    <t>General Administration Department</t>
  </si>
  <si>
    <t>051700100100</t>
  </si>
  <si>
    <t>Joint SS II Promotion Examination</t>
  </si>
  <si>
    <t>03050002740301</t>
  </si>
  <si>
    <t>Ministry of Education, Science and Technology</t>
  </si>
  <si>
    <t>031800100100</t>
  </si>
  <si>
    <t>025305700100</t>
  </si>
  <si>
    <t>032605200100</t>
  </si>
  <si>
    <t>ONDO STATE OF NIGERIA </t>
  </si>
  <si>
    <t>THIRD  SCHEDULE</t>
  </si>
  <si>
    <t>Admin Code</t>
  </si>
  <si>
    <t>Executing Agency</t>
  </si>
  <si>
    <t>Personnel</t>
  </si>
  <si>
    <t>Overhead Cost</t>
  </si>
  <si>
    <t>Special Programmes</t>
  </si>
  <si>
    <t>011100100100</t>
  </si>
  <si>
    <t>011100100200</t>
  </si>
  <si>
    <t>011100200100</t>
  </si>
  <si>
    <t>011100200300</t>
  </si>
  <si>
    <t>011100300100</t>
  </si>
  <si>
    <t>BUREAU OF PUBLIC PROCUREMENT (BPP)</t>
  </si>
  <si>
    <t>011101300100</t>
  </si>
  <si>
    <t>8</t>
  </si>
  <si>
    <t>011101300200</t>
  </si>
  <si>
    <t>011101400100</t>
  </si>
  <si>
    <t>10</t>
  </si>
  <si>
    <t>011101700100</t>
  </si>
  <si>
    <t>11</t>
  </si>
  <si>
    <t>12</t>
  </si>
  <si>
    <t>011102100100</t>
  </si>
  <si>
    <t>13</t>
  </si>
  <si>
    <t>011102100200</t>
  </si>
  <si>
    <t>14</t>
  </si>
  <si>
    <t>15</t>
  </si>
  <si>
    <t>011103500100</t>
  </si>
  <si>
    <t>16</t>
  </si>
  <si>
    <t>011103500200</t>
  </si>
  <si>
    <t>17</t>
  </si>
  <si>
    <t>011103700100</t>
  </si>
  <si>
    <t>18</t>
  </si>
  <si>
    <t>011103800100</t>
  </si>
  <si>
    <t>19</t>
  </si>
  <si>
    <t>011104400100</t>
  </si>
  <si>
    <t>20</t>
  </si>
  <si>
    <t>22</t>
  </si>
  <si>
    <t>011113200100</t>
  </si>
  <si>
    <t>23</t>
  </si>
  <si>
    <t>011200300100</t>
  </si>
  <si>
    <t>24</t>
  </si>
  <si>
    <t>011200400100</t>
  </si>
  <si>
    <t>25</t>
  </si>
  <si>
    <t>011200700200</t>
  </si>
  <si>
    <t>26</t>
  </si>
  <si>
    <t>011202100100</t>
  </si>
  <si>
    <t>27</t>
  </si>
  <si>
    <t>011202300100</t>
  </si>
  <si>
    <t>28</t>
  </si>
  <si>
    <t>012300100100</t>
  </si>
  <si>
    <t>29</t>
  </si>
  <si>
    <t>012300300100</t>
  </si>
  <si>
    <t>30</t>
  </si>
  <si>
    <t>012300400200</t>
  </si>
  <si>
    <t>31</t>
  </si>
  <si>
    <t>32</t>
  </si>
  <si>
    <t>012305600100</t>
  </si>
  <si>
    <t>33</t>
  </si>
  <si>
    <t>012400700100</t>
  </si>
  <si>
    <t>34</t>
  </si>
  <si>
    <t>012500100100</t>
  </si>
  <si>
    <t>35</t>
  </si>
  <si>
    <t>012500100300</t>
  </si>
  <si>
    <t>36</t>
  </si>
  <si>
    <t>012500600100</t>
  </si>
  <si>
    <t>37</t>
  </si>
  <si>
    <t>012500700100</t>
  </si>
  <si>
    <t>38</t>
  </si>
  <si>
    <t>012500700200</t>
  </si>
  <si>
    <t>39</t>
  </si>
  <si>
    <t>012500700300</t>
  </si>
  <si>
    <t>40</t>
  </si>
  <si>
    <t>012500800100</t>
  </si>
  <si>
    <t>41</t>
  </si>
  <si>
    <t>014000100100</t>
  </si>
  <si>
    <t>42</t>
  </si>
  <si>
    <t>43</t>
  </si>
  <si>
    <t>014700100100</t>
  </si>
  <si>
    <t>44</t>
  </si>
  <si>
    <t>014800100100</t>
  </si>
  <si>
    <t>45</t>
  </si>
  <si>
    <t>014800100200</t>
  </si>
  <si>
    <t>46</t>
  </si>
  <si>
    <t>47</t>
  </si>
  <si>
    <t>021502100100</t>
  </si>
  <si>
    <t>48</t>
  </si>
  <si>
    <t>021510200100</t>
  </si>
  <si>
    <t>49</t>
  </si>
  <si>
    <t>021510200200</t>
  </si>
  <si>
    <t>50</t>
  </si>
  <si>
    <t>51</t>
  </si>
  <si>
    <t>021511500100</t>
  </si>
  <si>
    <t>52</t>
  </si>
  <si>
    <t>53</t>
  </si>
  <si>
    <t>022000100100</t>
  </si>
  <si>
    <t>54</t>
  </si>
  <si>
    <t>022000100200</t>
  </si>
  <si>
    <t>55</t>
  </si>
  <si>
    <t>022000100400</t>
  </si>
  <si>
    <t>STATE FINANCE</t>
  </si>
  <si>
    <t>56</t>
  </si>
  <si>
    <t>022000200100</t>
  </si>
  <si>
    <t>57</t>
  </si>
  <si>
    <t>022000700100</t>
  </si>
  <si>
    <t>58</t>
  </si>
  <si>
    <t>59</t>
  </si>
  <si>
    <t>022200100100</t>
  </si>
  <si>
    <t>60</t>
  </si>
  <si>
    <t>022200900100</t>
  </si>
  <si>
    <t>61</t>
  </si>
  <si>
    <t>022205100100</t>
  </si>
  <si>
    <t>62</t>
  </si>
  <si>
    <t>022800700100</t>
  </si>
  <si>
    <t>63</t>
  </si>
  <si>
    <t>022800700200</t>
  </si>
  <si>
    <t>64</t>
  </si>
  <si>
    <t>022900100100</t>
  </si>
  <si>
    <t>65</t>
  </si>
  <si>
    <t>022905500100</t>
  </si>
  <si>
    <t>66</t>
  </si>
  <si>
    <t>023100300100</t>
  </si>
  <si>
    <t>67</t>
  </si>
  <si>
    <t>023305100100</t>
  </si>
  <si>
    <t>68</t>
  </si>
  <si>
    <t>023305100200</t>
  </si>
  <si>
    <t>69</t>
  </si>
  <si>
    <t>70</t>
  </si>
  <si>
    <t>023405600100</t>
  </si>
  <si>
    <t>71</t>
  </si>
  <si>
    <t>023600100100</t>
  </si>
  <si>
    <t>72</t>
  </si>
  <si>
    <t>023800100100</t>
  </si>
  <si>
    <t>73</t>
  </si>
  <si>
    <t>023800100200</t>
  </si>
  <si>
    <t>74</t>
  </si>
  <si>
    <t>023800100300</t>
  </si>
  <si>
    <t>MANPOWER DEVELOPMENT OFFICE</t>
  </si>
  <si>
    <t>75</t>
  </si>
  <si>
    <t>023800100500</t>
  </si>
  <si>
    <t>76</t>
  </si>
  <si>
    <t>023800100600</t>
  </si>
  <si>
    <t>MONITORING AND EVALUATION (MEMIS PROJECT) OFFICE</t>
  </si>
  <si>
    <t>77</t>
  </si>
  <si>
    <t>023800400100</t>
  </si>
  <si>
    <t>78</t>
  </si>
  <si>
    <t>025210200100</t>
  </si>
  <si>
    <t>79</t>
  </si>
  <si>
    <t>025210300100</t>
  </si>
  <si>
    <t>80</t>
  </si>
  <si>
    <t>025305300100</t>
  </si>
  <si>
    <t>81</t>
  </si>
  <si>
    <t>82</t>
  </si>
  <si>
    <t>026000100100</t>
  </si>
  <si>
    <t>83</t>
  </si>
  <si>
    <t>026100100100</t>
  </si>
  <si>
    <t>84</t>
  </si>
  <si>
    <t>026300100100</t>
  </si>
  <si>
    <t>85</t>
  </si>
  <si>
    <t>86</t>
  </si>
  <si>
    <t>031801100100</t>
  </si>
  <si>
    <t>87</t>
  </si>
  <si>
    <t>031801200100</t>
  </si>
  <si>
    <t>88</t>
  </si>
  <si>
    <t>031801300100</t>
  </si>
  <si>
    <t>89</t>
  </si>
  <si>
    <t>90</t>
  </si>
  <si>
    <t>032600200100</t>
  </si>
  <si>
    <t>91</t>
  </si>
  <si>
    <t>032600300100</t>
  </si>
  <si>
    <t>92</t>
  </si>
  <si>
    <t>93</t>
  </si>
  <si>
    <t>032605200200</t>
  </si>
  <si>
    <t>94</t>
  </si>
  <si>
    <t>032605200300</t>
  </si>
  <si>
    <t>95</t>
  </si>
  <si>
    <t>051300100100</t>
  </si>
  <si>
    <t>96</t>
  </si>
  <si>
    <t>051300100200</t>
  </si>
  <si>
    <t>97</t>
  </si>
  <si>
    <t>051400100100</t>
  </si>
  <si>
    <t>98</t>
  </si>
  <si>
    <t>051400100200</t>
  </si>
  <si>
    <t>99</t>
  </si>
  <si>
    <t>100</t>
  </si>
  <si>
    <t>051700100200</t>
  </si>
  <si>
    <t>101</t>
  </si>
  <si>
    <t>051700100300</t>
  </si>
  <si>
    <t>102</t>
  </si>
  <si>
    <t>051700300100</t>
  </si>
  <si>
    <t>103</t>
  </si>
  <si>
    <t>051700300200</t>
  </si>
  <si>
    <t>104</t>
  </si>
  <si>
    <t>051700300300</t>
  </si>
  <si>
    <t>105</t>
  </si>
  <si>
    <t>051700800100</t>
  </si>
  <si>
    <t>106</t>
  </si>
  <si>
    <t>051705400100</t>
  </si>
  <si>
    <t>107</t>
  </si>
  <si>
    <t>051705400200</t>
  </si>
  <si>
    <t>108</t>
  </si>
  <si>
    <t>051705400300</t>
  </si>
  <si>
    <t>109</t>
  </si>
  <si>
    <t>051705400400</t>
  </si>
  <si>
    <t>110</t>
  </si>
  <si>
    <t>051705400500</t>
  </si>
  <si>
    <t>111</t>
  </si>
  <si>
    <t>051705400600</t>
  </si>
  <si>
    <t>112</t>
  </si>
  <si>
    <t>051705400700</t>
  </si>
  <si>
    <t>113</t>
  </si>
  <si>
    <t>051705400800</t>
  </si>
  <si>
    <t>114</t>
  </si>
  <si>
    <t>051705400900</t>
  </si>
  <si>
    <t>115</t>
  </si>
  <si>
    <t>051705401000</t>
  </si>
  <si>
    <t>116</t>
  </si>
  <si>
    <t>051705600100</t>
  </si>
  <si>
    <t>117</t>
  </si>
  <si>
    <t>118</t>
  </si>
  <si>
    <t>119</t>
  </si>
  <si>
    <t>120</t>
  </si>
  <si>
    <t>052110200100</t>
  </si>
  <si>
    <t>121</t>
  </si>
  <si>
    <t>052110300100</t>
  </si>
  <si>
    <t>122</t>
  </si>
  <si>
    <t>052110600100</t>
  </si>
  <si>
    <t>123</t>
  </si>
  <si>
    <t>052111500100</t>
  </si>
  <si>
    <t>124</t>
  </si>
  <si>
    <t>052111600100</t>
  </si>
  <si>
    <t>125</t>
  </si>
  <si>
    <t>126</t>
  </si>
  <si>
    <t>053500100200</t>
  </si>
  <si>
    <t>NEW MAP PROJECT OFFICE</t>
  </si>
  <si>
    <t>127</t>
  </si>
  <si>
    <t>128</t>
  </si>
  <si>
    <t>129</t>
  </si>
  <si>
    <t>130</t>
  </si>
  <si>
    <t>131</t>
  </si>
  <si>
    <t>055200100200</t>
  </si>
  <si>
    <t>132</t>
  </si>
  <si>
    <t>055200200100</t>
  </si>
  <si>
    <t>133</t>
  </si>
  <si>
    <t>134</t>
  </si>
  <si>
    <t>135</t>
  </si>
  <si>
    <t>136</t>
  </si>
  <si>
    <t>FOURTH  SCHEDULE</t>
  </si>
  <si>
    <t>011100800100</t>
  </si>
  <si>
    <t>21</t>
  </si>
  <si>
    <t>012305500100</t>
  </si>
  <si>
    <t>023400400100</t>
  </si>
  <si>
    <t>051701800100</t>
  </si>
  <si>
    <t>051702100100</t>
  </si>
  <si>
    <t>051702100200</t>
  </si>
  <si>
    <t>051702100300</t>
  </si>
  <si>
    <t>011105200100</t>
  </si>
  <si>
    <t>TOTAL: MINISTRY OF FINANCE</t>
  </si>
  <si>
    <t>BANK</t>
  </si>
  <si>
    <t>DEBT SERVICE PRINCIPAL</t>
  </si>
  <si>
    <t xml:space="preserve">AMOUNT SPENT TILL DATE M'N       </t>
  </si>
  <si>
    <t>Total Recurrent Expenditure Allocation (Re-allocation)</t>
  </si>
  <si>
    <t>Total Capital Allocation (Re-allocation)</t>
  </si>
  <si>
    <r>
      <t>SPECIAL PROGRAMME FUNDS (</t>
    </r>
    <r>
      <rPr>
        <b/>
        <strike/>
        <sz val="8"/>
        <color theme="1"/>
        <rFont val="Times New Roman"/>
        <family val="1"/>
      </rPr>
      <t>N</t>
    </r>
    <r>
      <rPr>
        <b/>
        <sz val="8"/>
        <color theme="1"/>
        <rFont val="Times New Roman"/>
        <family val="1"/>
      </rPr>
      <t>)</t>
    </r>
  </si>
  <si>
    <r>
      <t>OVERHEADS (</t>
    </r>
    <r>
      <rPr>
        <b/>
        <strike/>
        <sz val="8"/>
        <color theme="1"/>
        <rFont val="Times New Roman"/>
        <family val="1"/>
      </rPr>
      <t>N</t>
    </r>
    <r>
      <rPr>
        <b/>
        <sz val="8"/>
        <color theme="1"/>
        <rFont val="Times New Roman"/>
        <family val="1"/>
      </rPr>
      <t>)</t>
    </r>
  </si>
  <si>
    <t>Total Pooled Funds (Recurrent)</t>
  </si>
  <si>
    <t>iii</t>
  </si>
  <si>
    <t>Total Allocation of Fund (Recurrent and Capital)</t>
  </si>
  <si>
    <t>Total Pooled Fund (Recurrent and Capital)</t>
  </si>
  <si>
    <t>C: TOTAL</t>
  </si>
  <si>
    <t>SUMMARY OF POOLED AND ALLOCATION OF FUNDS</t>
  </si>
  <si>
    <t>APPROVED ESTIMATES 2021</t>
  </si>
  <si>
    <t>APPROVED ESTIMATES 2021 M'N</t>
  </si>
  <si>
    <t>PROPOSED CAPITAL RE-ORDERED ESTIMATES, 2021</t>
  </si>
  <si>
    <t>2020 PRINCIPAL AMOUNT (N)</t>
  </si>
  <si>
    <t xml:space="preserve">2021 FIRST SCHEDULE </t>
  </si>
  <si>
    <t>Approved Estimates 2020           (N)</t>
  </si>
  <si>
    <t>2021 SECOND SCHEDULE</t>
  </si>
  <si>
    <t>EMERGENCY RESPONSE SERVICE</t>
  </si>
  <si>
    <t>TOTAL: EMERGENCY RESPONSE SERVICE</t>
  </si>
  <si>
    <t>SPG- FOWOSO Programme</t>
  </si>
  <si>
    <t>SPG- Ondo State Free School Shuttle Project</t>
  </si>
  <si>
    <t>SPG- Sunshine Traffic Control/Traffic Management</t>
  </si>
  <si>
    <t>02060001170123</t>
  </si>
  <si>
    <t>EndSARS Protest Reconstruction Programme</t>
  </si>
  <si>
    <t>TOTAL: MINISTRY OF LANDS AND HOUSING</t>
  </si>
  <si>
    <r>
      <t xml:space="preserve">ADMIN CODE: 051700100100: </t>
    </r>
    <r>
      <rPr>
        <sz val="9"/>
        <color theme="1"/>
        <rFont val="Times New Roman"/>
        <family val="1"/>
      </rPr>
      <t>MINISTRY OF EDUCATION, SCIENCE AND TECHNOLOGY</t>
    </r>
  </si>
  <si>
    <r>
      <t xml:space="preserve">ACCOUNTING OFFICER: </t>
    </r>
    <r>
      <rPr>
        <sz val="9"/>
        <rFont val="Times New Roman"/>
        <family val="1"/>
      </rPr>
      <t>PERMANENT SECRETARY, MINISTRY OF EDUCATION, SCIENCE AND TECHNOLOGY</t>
    </r>
  </si>
  <si>
    <t>22100204</t>
  </si>
  <si>
    <t>22100521</t>
  </si>
  <si>
    <t>SPG- Monitoring of Schools/Operational Vote</t>
  </si>
  <si>
    <t>22100523</t>
  </si>
  <si>
    <t>SPG- Feeding &amp; Maintenance of 4 Special Schools</t>
  </si>
  <si>
    <t>22100524</t>
  </si>
  <si>
    <t>SPG- J.S.S.C.E</t>
  </si>
  <si>
    <t>22100525</t>
  </si>
  <si>
    <t>SPG- National Education Competition in Sec. Schools</t>
  </si>
  <si>
    <t>22100526</t>
  </si>
  <si>
    <t>SPG- JETS Competitions</t>
  </si>
  <si>
    <t>22100527</t>
  </si>
  <si>
    <t>SPG- Printing of C.A Documents</t>
  </si>
  <si>
    <t>22100528</t>
  </si>
  <si>
    <t>SPG- School Examination (Unity Common Entrance Exams/GTC, etc)</t>
  </si>
  <si>
    <t>22100529</t>
  </si>
  <si>
    <t>SPG- Schools Sport: Secondary Schools</t>
  </si>
  <si>
    <t>22100530</t>
  </si>
  <si>
    <t>SPG- Training Programme for Education Officers, Education Managers and other Related Personnel</t>
  </si>
  <si>
    <t>22100532</t>
  </si>
  <si>
    <t>SPG- School Census, Data Analysis and Research</t>
  </si>
  <si>
    <t>22100533</t>
  </si>
  <si>
    <t>SPG- National Education Conference including subject Assoc. for 56 core subjects, National Council on Education</t>
  </si>
  <si>
    <t>22100534</t>
  </si>
  <si>
    <t>SPG- Guidance and Counseling Therapy on Career Choice for Students</t>
  </si>
  <si>
    <t>22100535</t>
  </si>
  <si>
    <t>SPG- Examination Ethics &amp; Disciplinary Committee Programme.</t>
  </si>
  <si>
    <t>22100537</t>
  </si>
  <si>
    <t>SPG- Science Conference &amp; Diaspora Day Celebration.</t>
  </si>
  <si>
    <t>22100538</t>
  </si>
  <si>
    <t>SPG- Collection, Collation &amp; Analysis of Education Statistics</t>
  </si>
  <si>
    <t>22100539</t>
  </si>
  <si>
    <t>SPG- WAEC/SSCE/JAMB Monitoring</t>
  </si>
  <si>
    <t>22100540</t>
  </si>
  <si>
    <t>SPG- Application of Psychology Test Instrument.</t>
  </si>
  <si>
    <t>22100543</t>
  </si>
  <si>
    <t>SPG- STAN National Conference</t>
  </si>
  <si>
    <t>22100544</t>
  </si>
  <si>
    <t>SPG- Procurement of Diesel, Petrol and Lubricant Distribution and Servicing</t>
  </si>
  <si>
    <t>22100666</t>
  </si>
  <si>
    <t>SPG- World Teachers' Day Celebration</t>
  </si>
  <si>
    <t>052111700100</t>
  </si>
  <si>
    <t>22100207</t>
  </si>
  <si>
    <t>22100376</t>
  </si>
  <si>
    <t>22100377</t>
  </si>
  <si>
    <t>22100378</t>
  </si>
  <si>
    <t>22100379</t>
  </si>
  <si>
    <t>22100380</t>
  </si>
  <si>
    <t>22100381</t>
  </si>
  <si>
    <t>22100382</t>
  </si>
  <si>
    <t>22100383</t>
  </si>
  <si>
    <t>22100384</t>
  </si>
  <si>
    <t>22100385</t>
  </si>
  <si>
    <t>22100386</t>
  </si>
  <si>
    <t>22100387</t>
  </si>
  <si>
    <t>22100388</t>
  </si>
  <si>
    <t>22100389</t>
  </si>
  <si>
    <t>22100390</t>
  </si>
  <si>
    <t>22100392</t>
  </si>
  <si>
    <t>22100393</t>
  </si>
  <si>
    <t>22100394</t>
  </si>
  <si>
    <t>22100395</t>
  </si>
  <si>
    <t>22100396</t>
  </si>
  <si>
    <t>22100398</t>
  </si>
  <si>
    <t>22100399</t>
  </si>
  <si>
    <t>22100401</t>
  </si>
  <si>
    <t>22100657</t>
  </si>
  <si>
    <t>22100659</t>
  </si>
  <si>
    <t>SPG- Monthly Tracking and Analysis of Expenditure</t>
  </si>
  <si>
    <t>22100660</t>
  </si>
  <si>
    <t>22100661</t>
  </si>
  <si>
    <t>22100695</t>
  </si>
  <si>
    <t>SPG- Investment Potfolio Monitoring and Reconciliation</t>
  </si>
  <si>
    <t>22100703</t>
  </si>
  <si>
    <t>SPG- Health Insurance Policy for Health Workers</t>
  </si>
  <si>
    <t>Approved Estimates 2021 (N)</t>
  </si>
  <si>
    <t>ONDO STATE OF NIGERIA, ESTIMATES 2021</t>
  </si>
  <si>
    <t>02060001350101</t>
  </si>
  <si>
    <t>Renovation of Conference Hall/Building of the Ministry</t>
  </si>
  <si>
    <t>Provision of Security Hardware</t>
  </si>
  <si>
    <t>02130002310304</t>
  </si>
  <si>
    <t>22100201</t>
  </si>
  <si>
    <t>SPG- Domestic Passage</t>
  </si>
  <si>
    <t>22100202</t>
  </si>
  <si>
    <t>22100203</t>
  </si>
  <si>
    <t>22100205</t>
  </si>
  <si>
    <t>22100206</t>
  </si>
  <si>
    <t>22100208</t>
  </si>
  <si>
    <t>SPG- Offices of ADC, CSO, Chief Detail and Orderly</t>
  </si>
  <si>
    <t>22100209</t>
  </si>
  <si>
    <t>22100210</t>
  </si>
  <si>
    <t>22100279</t>
  </si>
  <si>
    <t>SPG- Procurement of Consumables for Operational Efficiency in Admin, Legal, Publication and Planning Departments</t>
  </si>
  <si>
    <t>22100305</t>
  </si>
  <si>
    <t>22100641</t>
  </si>
  <si>
    <t>22100651</t>
  </si>
  <si>
    <t>22100652</t>
  </si>
  <si>
    <t>22100663</t>
  </si>
  <si>
    <t>SPG- Office of the SSAs on Legislative Matters</t>
  </si>
  <si>
    <t>22100675</t>
  </si>
  <si>
    <t>22100676</t>
  </si>
  <si>
    <t>SPG- Office of the SSA on Administration and Policy Planning</t>
  </si>
  <si>
    <t>22100685</t>
  </si>
  <si>
    <t>SPG- Office of the SA on People living with Disabilities</t>
  </si>
  <si>
    <t>22100686</t>
  </si>
  <si>
    <t>SPG- Office of the SSAs on Chams Technology</t>
  </si>
  <si>
    <t>22100688</t>
  </si>
  <si>
    <t>SPG- Senior Special Assistant to the Governor (Monitoring and Performance)</t>
  </si>
  <si>
    <t>TOTAL: GOVERNOR'S OFFICE-GOVERNMENT HOUSE AND PROTOCOL</t>
  </si>
  <si>
    <t>Bulk Purchase of Spare Parts for Specialized Vehicles, and others</t>
  </si>
  <si>
    <t>02130001950101</t>
  </si>
  <si>
    <t>TOTAL: GENERAL ADMINISTRATION</t>
  </si>
  <si>
    <t>02130003710401</t>
  </si>
  <si>
    <t>Refurbishment of Vehicles</t>
  </si>
  <si>
    <t>02130003720401</t>
  </si>
  <si>
    <r>
      <rPr>
        <b/>
        <sz val="9"/>
        <color theme="1"/>
        <rFont val="Times New Roman"/>
        <family val="1"/>
      </rPr>
      <t>ADMIN CODE: 011101300200:</t>
    </r>
    <r>
      <rPr>
        <sz val="9"/>
        <color theme="1"/>
        <rFont val="Times New Roman"/>
        <family val="1"/>
      </rPr>
      <t xml:space="preserve"> GENERAL ADMINISTRATION   </t>
    </r>
  </si>
  <si>
    <r>
      <t xml:space="preserve">ACCOUNTING OFFICER: </t>
    </r>
    <r>
      <rPr>
        <sz val="9"/>
        <rFont val="Times New Roman"/>
        <family val="1"/>
      </rPr>
      <t>PERMANENT SECRETARY,  GENERAL ADMINISTRATION</t>
    </r>
  </si>
  <si>
    <t>22100221</t>
  </si>
  <si>
    <t>SPG- Cleaning of the Secretariat Complex and other Government Offices and other Ancillary Activities</t>
  </si>
  <si>
    <t>22100222</t>
  </si>
  <si>
    <t>SPG- Provision of Security Services at State Secretariat Complex</t>
  </si>
  <si>
    <r>
      <rPr>
        <b/>
        <sz val="9"/>
        <color theme="1"/>
        <rFont val="Times New Roman"/>
        <family val="1"/>
      </rPr>
      <t>ADMIN CODE: 011101700100:</t>
    </r>
    <r>
      <rPr>
        <sz val="9"/>
        <color theme="1"/>
        <rFont val="Times New Roman"/>
        <family val="1"/>
      </rPr>
      <t xml:space="preserve"> CABINET AND SPECIAL SERVICES DEPARTMENT   </t>
    </r>
  </si>
  <si>
    <r>
      <t xml:space="preserve">ACCOUNTING OFFICER: </t>
    </r>
    <r>
      <rPr>
        <sz val="9"/>
        <rFont val="Times New Roman"/>
        <family val="1"/>
      </rPr>
      <t>PERMANENT SECRETARY,  CABINET AND SPECIAL SERVICES DEPARTMENT</t>
    </r>
  </si>
  <si>
    <t>22100237</t>
  </si>
  <si>
    <t>SPG- Activities of the Military (Army)</t>
  </si>
  <si>
    <t>22100238</t>
  </si>
  <si>
    <t>SPG- Federal and State Security Council meeting</t>
  </si>
  <si>
    <t>22100239</t>
  </si>
  <si>
    <t>SPG- Activities of the Military (Navy)</t>
  </si>
  <si>
    <t>22100240</t>
  </si>
  <si>
    <t>SPG- Activities of the Military (Air Force)</t>
  </si>
  <si>
    <t>22100241</t>
  </si>
  <si>
    <t>SPG- Activities of the Paramilitary Agencies</t>
  </si>
  <si>
    <t>22100242</t>
  </si>
  <si>
    <t>SPG- Cabinet/Executive Council Secretariat and maintenance of Exco Chamber and Governor's Conference Room</t>
  </si>
  <si>
    <t>22100243</t>
  </si>
  <si>
    <t>SPG- State Tenders Board Secretariat</t>
  </si>
  <si>
    <t>22100244</t>
  </si>
  <si>
    <t>SPG- Joint Security Patrol (JSP) Office</t>
  </si>
  <si>
    <t>22100245</t>
  </si>
  <si>
    <t>SPG- Swearing-in Ceremonies of Political Appointees in the State and Allied Matters</t>
  </si>
  <si>
    <t>TOTAL: OFFICE OF THE ACCOUNTANT GENERAL</t>
  </si>
  <si>
    <t>Continuous Capacity Building &amp; ICT Training on SIFMIS Project</t>
  </si>
  <si>
    <t>02130000910103</t>
  </si>
  <si>
    <t>TOTAL: MINISTRY OF COMMERCE, INDUSTRIES AND COOPERATIVES</t>
  </si>
  <si>
    <t>02120002390102</t>
  </si>
  <si>
    <t>Investible Fund</t>
  </si>
  <si>
    <t>Construction of New Governor and Deputy Governor Lodge</t>
  </si>
  <si>
    <t>Cabinet and Special Services Department</t>
  </si>
  <si>
    <t>Balance</t>
  </si>
  <si>
    <t>General Administration</t>
  </si>
  <si>
    <t>Ministry of Commerce, Industries and Cooperatives</t>
  </si>
  <si>
    <t>Ministry of Lands and Housing</t>
  </si>
  <si>
    <t>Office of the Accountant General</t>
  </si>
  <si>
    <t>22100546</t>
  </si>
  <si>
    <t>Student Final Exams, NABTEB/WAEC</t>
  </si>
  <si>
    <t>02130001760301</t>
  </si>
  <si>
    <t>Purchase of GUBABI Security Safes (50 Nos)</t>
  </si>
  <si>
    <r>
      <t xml:space="preserve">ADMIN CODE: 022000200100: </t>
    </r>
    <r>
      <rPr>
        <sz val="9"/>
        <color theme="1"/>
        <rFont val="Times New Roman"/>
        <family val="1"/>
      </rPr>
      <t>DEBT MANAGEMENT OFFICE</t>
    </r>
  </si>
  <si>
    <r>
      <t xml:space="preserve">ACCOUNTING OFFICER: </t>
    </r>
    <r>
      <rPr>
        <sz val="9"/>
        <rFont val="Times New Roman"/>
        <family val="1"/>
      </rPr>
      <t>DIRECTOR, DEBT MANAGEMENT OFFICE</t>
    </r>
  </si>
  <si>
    <t>Debt Management Office</t>
  </si>
  <si>
    <t>Printing of Security Documents for Timber Exploitation</t>
  </si>
  <si>
    <t>01090000100103</t>
  </si>
  <si>
    <t>Purchase of 3 million Cocoa Seal at N9.00k each</t>
  </si>
  <si>
    <t>TOTAL: MINISTRY OF NATURAL RESOURCES</t>
  </si>
  <si>
    <t>Ministry of Natural Resources</t>
  </si>
  <si>
    <t>22100367</t>
  </si>
  <si>
    <t>SPG- Joint Task Force</t>
  </si>
  <si>
    <t>22100369</t>
  </si>
  <si>
    <t>SPG- Forestry Advisory/Produce Monitoring Committee</t>
  </si>
  <si>
    <t>22100370</t>
  </si>
  <si>
    <t>SPG- Water Ways Task Force</t>
  </si>
  <si>
    <t>22100478</t>
  </si>
  <si>
    <t>SPG- Conferences, Seminars and Workshops</t>
  </si>
  <si>
    <r>
      <t xml:space="preserve">ADMIN CODE: 051700300100: </t>
    </r>
    <r>
      <rPr>
        <sz val="9"/>
        <color theme="1"/>
        <rFont val="Times New Roman"/>
        <family val="1"/>
      </rPr>
      <t>STATE UNIVERSAL BASIC EDUCATION BOARD (SUBEB) HEADQUARTERS</t>
    </r>
  </si>
  <si>
    <r>
      <t xml:space="preserve">ACCOUNTING OFFICER: </t>
    </r>
    <r>
      <rPr>
        <sz val="9"/>
        <rFont val="Times New Roman"/>
        <family val="1"/>
      </rPr>
      <t>PERMANENT SECRETARY, STATE UNIVERSAL BASIC EDUCATION BOARD (SUBEB) HEADQUARTERS</t>
    </r>
  </si>
  <si>
    <t>22100454</t>
  </si>
  <si>
    <t>SPG- Capacity Building and Professional Development Training Programmes</t>
  </si>
  <si>
    <t>22100557</t>
  </si>
  <si>
    <t>SPG- Grants To Primary School</t>
  </si>
  <si>
    <t>22100558</t>
  </si>
  <si>
    <t>SPG- Training of Primary School Teachers &amp; Education Managers</t>
  </si>
  <si>
    <t>22100559</t>
  </si>
  <si>
    <t>SPG- Wall Charts &amp; Maps For Pry &amp; Junior Secondary School</t>
  </si>
  <si>
    <t>22100560</t>
  </si>
  <si>
    <t>SPG- Annual Jets Competition For Primary Schools</t>
  </si>
  <si>
    <t>22100561</t>
  </si>
  <si>
    <t>SPG- Primary Schools Sports</t>
  </si>
  <si>
    <t>22100562</t>
  </si>
  <si>
    <t>SPG- National Education Conferences (JCCE, Rep &amp; Planning, NCE, ESSPIN)</t>
  </si>
  <si>
    <t>22100563</t>
  </si>
  <si>
    <t>SPG- Monitoring of Schools</t>
  </si>
  <si>
    <t>22100564</t>
  </si>
  <si>
    <t>SPG- School Competition for Pry &amp; JSS (Nat. &amp; Int.) Gov/President Inter-School Debate, Music &amp; Creative Arts, STAN, MAN, UNESCO, NASTECH, Sensitization Programme on EFA, Space Tech etc</t>
  </si>
  <si>
    <t>22100565</t>
  </si>
  <si>
    <t>22100567</t>
  </si>
  <si>
    <t>SPG- School-Based Management Committee</t>
  </si>
  <si>
    <t>22100568</t>
  </si>
  <si>
    <t>SPG- Data Verification of Public Primary Schools in the State</t>
  </si>
  <si>
    <t>22100569</t>
  </si>
  <si>
    <t>SPG- Training of LGA Supervisors, Data Collectors etc.</t>
  </si>
  <si>
    <t>22100570</t>
  </si>
  <si>
    <t>SPG- Grants /Maintenance of Mega Schools</t>
  </si>
  <si>
    <t>22100637</t>
  </si>
  <si>
    <t>SPG- FTS Participants/State Government Contribution</t>
  </si>
  <si>
    <t>State Universal Basic Education Board (SUBEB) Headquarters</t>
  </si>
  <si>
    <t>Project Management Consultants by State Government</t>
  </si>
  <si>
    <t>03050002920204</t>
  </si>
  <si>
    <t>03050002920203</t>
  </si>
  <si>
    <t>Construction and Renovation of Classrooms across the state</t>
  </si>
  <si>
    <t>22020102</t>
  </si>
  <si>
    <t>LOCAL TRAVEL &amp; TRANSPORT: OTHERS</t>
  </si>
  <si>
    <t>22020201</t>
  </si>
  <si>
    <t>ELECTRICITY CHARGES</t>
  </si>
  <si>
    <t>22020202</t>
  </si>
  <si>
    <t>TELEPHONE CHARGES</t>
  </si>
  <si>
    <t>22020301</t>
  </si>
  <si>
    <t>OFFICE STATIONERIES/COMPUTER CONSUMABLES</t>
  </si>
  <si>
    <t>22020305</t>
  </si>
  <si>
    <t>PRINTING OF NON SECURITY DOCUMENTS</t>
  </si>
  <si>
    <t>22020401</t>
  </si>
  <si>
    <t>MAINTENANCE OF MOTOR VEHICLE/TRANSPORT EQUIPMENT</t>
  </si>
  <si>
    <t>22020402</t>
  </si>
  <si>
    <t>MAINTENANCE OF OFFICE FURNITURE</t>
  </si>
  <si>
    <t>22020501</t>
  </si>
  <si>
    <t>LOCAL TRAINING</t>
  </si>
  <si>
    <t>22021001</t>
  </si>
  <si>
    <t>REFRESHMENT &amp; MEALS</t>
  </si>
  <si>
    <t>22021007</t>
  </si>
  <si>
    <t>WELFARE PACKAGES</t>
  </si>
  <si>
    <t>02100000660102</t>
  </si>
  <si>
    <t>TOTAL: MINISTRY OF REGIONAL INTEGRATION AND SPECIAL DUTIES</t>
  </si>
  <si>
    <t>Special Intervention on Ministry's Programmes and other Sundry Projects</t>
  </si>
  <si>
    <t>Ministry of Regional Integration and Special Duties</t>
  </si>
  <si>
    <t>TOTAL: ONDO STATE SPORTS COUNCIL</t>
  </si>
  <si>
    <t>02080003640201</t>
  </si>
  <si>
    <t>Upgrading and Maintenance of Akure and Other Stadia</t>
  </si>
  <si>
    <t>TOTAL: ONDO STATE RURAL WATER SUPPLY AND SANITATION AGENCY (RUWASSA)</t>
  </si>
  <si>
    <t>02060002430110</t>
  </si>
  <si>
    <t>Construction of New Office Complex</t>
  </si>
  <si>
    <t>Counterpart Fund for RAMP3</t>
  </si>
  <si>
    <t>02170002170102</t>
  </si>
  <si>
    <t>TOTAL: ONDO STATE RURAL ACCESS AND AGRICULTURAL MARKETING PROJECT (RAAMP)</t>
  </si>
  <si>
    <t>TOTAL: ONDO STATE JUDICIARY</t>
  </si>
  <si>
    <t>02060000460118</t>
  </si>
  <si>
    <t>Building of new High Court Complex</t>
  </si>
  <si>
    <t>Development and Management of Ondo State Free Trade Zone</t>
  </si>
  <si>
    <t>02120001130101</t>
  </si>
  <si>
    <t>02120001150101</t>
  </si>
  <si>
    <t>Establishment/Management of Deep Sea Port</t>
  </si>
  <si>
    <t>03050001160102</t>
  </si>
  <si>
    <t>Investors Summit</t>
  </si>
  <si>
    <t>ONDO STATE ENTREPRENEURSHIP AGENCY (ONDEA)</t>
  </si>
  <si>
    <t>Entrepreneurs Cycle Fund (Loans to Entrepreneurs in the 18 LGAs</t>
  </si>
  <si>
    <t>01030004970101</t>
  </si>
  <si>
    <t>TOTAL: ONDO STATE INVESTMENT PROMOTION AGENCY (ONDIPA)</t>
  </si>
  <si>
    <t>TOTAL: ONDO STATE ENTREPRENEURSHIP AGENCY (ONDEA)</t>
  </si>
  <si>
    <t>02160000740101</t>
  </si>
  <si>
    <t>Clearing of Water Hycinth/Weeds along State Waterways and Allied Matters</t>
  </si>
  <si>
    <t>TOTAL: MINISTRY OF JUSTICE</t>
  </si>
  <si>
    <t>05130003180201</t>
  </si>
  <si>
    <t>Judgements Debt</t>
  </si>
  <si>
    <t>04040000980101</t>
  </si>
  <si>
    <t>Establishment of Cancer Treatment Center, Owo</t>
  </si>
  <si>
    <t>01010004300321</t>
  </si>
  <si>
    <t>Cocoa Development Initiative</t>
  </si>
  <si>
    <t>CONTRIBUTORY HEALTH COMMISSION</t>
  </si>
  <si>
    <t>TOTAL: COCOA REVOLUTION OFFICE</t>
  </si>
  <si>
    <t>02040004590201</t>
  </si>
  <si>
    <t>04040004740101</t>
  </si>
  <si>
    <t>Health Care for Under 5 and Pregnant Women</t>
  </si>
  <si>
    <t>04040004740102</t>
  </si>
  <si>
    <t>Re-imbursement to PHCs and Hospitals</t>
  </si>
  <si>
    <t>TOTAL: CONTRIBUTORY HEALTH COMMISSION</t>
  </si>
  <si>
    <t>02050000220205</t>
  </si>
  <si>
    <t>Renovation of Other Schools</t>
  </si>
  <si>
    <t>TOTAL: DIRECTORATE OF RURAL AND COMMUNITY DEVELOPMENT</t>
  </si>
  <si>
    <t>02100000580101</t>
  </si>
  <si>
    <t>Execution of Constituency Projects across the three senatorial districts of the State</t>
  </si>
  <si>
    <t>TOTAL: BOARD OF ADULT, TECHNICAL AND VOCATIONAL EDUCATION</t>
  </si>
  <si>
    <t>01050000550107</t>
  </si>
  <si>
    <t>Support for Technological Innovations and Development</t>
  </si>
  <si>
    <r>
      <t xml:space="preserve">ACCOUNTING OFFICER: </t>
    </r>
    <r>
      <rPr>
        <sz val="9"/>
        <rFont val="Times New Roman"/>
        <family val="1"/>
      </rPr>
      <t>PERMANENT SECRETARY, MINISTRY OF WOMEN AFFAIRS AND SOCIAL DEVELOPMENT</t>
    </r>
  </si>
  <si>
    <r>
      <t xml:space="preserve">ADMIN CODE: 051400100100: </t>
    </r>
    <r>
      <rPr>
        <sz val="9"/>
        <color theme="1"/>
        <rFont val="Times New Roman"/>
        <family val="1"/>
      </rPr>
      <t>MINISTRY OF WOMEN AFFAIRS AND SOCIAL DEVELOPMENT</t>
    </r>
  </si>
  <si>
    <t>22100434</t>
  </si>
  <si>
    <t>SPG- Publicity</t>
  </si>
  <si>
    <t>22100497</t>
  </si>
  <si>
    <t>SPG- Commemoration of Special International Days: Women, Elderly, Family, the Girl Child, National Children Day, the Day of the African Child, Widows and other Int'l Days</t>
  </si>
  <si>
    <t>22100498</t>
  </si>
  <si>
    <t>SPG- Armed Forces Remembrance Day</t>
  </si>
  <si>
    <t>22100499</t>
  </si>
  <si>
    <t>SPG- Nigerian Inter-religious Council Activities</t>
  </si>
  <si>
    <t>22100501</t>
  </si>
  <si>
    <t>SPG- Human Trafficking Control Programme</t>
  </si>
  <si>
    <t>22100502</t>
  </si>
  <si>
    <t>SPG- Meeting of Her Excellency with Women Groups</t>
  </si>
  <si>
    <t>22100503</t>
  </si>
  <si>
    <t>SPG- Management/Coordination and Subvention to NGOs</t>
  </si>
  <si>
    <t>22100504</t>
  </si>
  <si>
    <t>SPG- Reduction of women's vulnerability to HIV/AID &amp; STDs</t>
  </si>
  <si>
    <t>22100505</t>
  </si>
  <si>
    <t>SPG- Resettlement scheme for street children and monitoring of foster and adopted children</t>
  </si>
  <si>
    <t>22100506</t>
  </si>
  <si>
    <t>SPG- Support programme for orphans and vulnerable children</t>
  </si>
  <si>
    <t>22100507</t>
  </si>
  <si>
    <t>SPG- Support for Probation Case Committee and Family Court: Seminars, Management and Allowances for Family Court Panel</t>
  </si>
  <si>
    <t>22100508</t>
  </si>
  <si>
    <t>SPG- Welfare Support for Elderly and all other Vulnerable groups/Emergency Services</t>
  </si>
  <si>
    <t>22100509</t>
  </si>
  <si>
    <t>SPG- Sensitization of the Public on Child Abuse Practises on TV and Radio and Monitoring of Day Care Centres</t>
  </si>
  <si>
    <t>22100510</t>
  </si>
  <si>
    <t>SPG- Women Enlightenment and Empowerment</t>
  </si>
  <si>
    <t>22100511</t>
  </si>
  <si>
    <t>SPG- Feeding and Maintenance of State Children Home and the Remand Rome</t>
  </si>
  <si>
    <t>22100512</t>
  </si>
  <si>
    <t>SPG- Maintenance of Babafunke Ajasin Auditorium</t>
  </si>
  <si>
    <t>22100516</t>
  </si>
  <si>
    <t>SPG- Welfare of the Remand Home Visiting Committee</t>
  </si>
  <si>
    <t>22100517</t>
  </si>
  <si>
    <t>SPG- Meeting of Honourable Commissioner with the Women group</t>
  </si>
  <si>
    <t>22100642</t>
  </si>
  <si>
    <t>22100701</t>
  </si>
  <si>
    <t>SPG- Prevention of Gender Based Violence in Ondo State and Allied Activities</t>
  </si>
  <si>
    <t>22100274</t>
  </si>
  <si>
    <t>SPG- Public hearing on Billa and Special Committee Assignment</t>
  </si>
  <si>
    <t>04040002420101</t>
  </si>
  <si>
    <t>Sanitation Mobilisation and Awareness Campaign</t>
  </si>
  <si>
    <t>Registration and Organization of Artisans in the State</t>
  </si>
  <si>
    <t>05120001220101</t>
  </si>
  <si>
    <t>01010002280212</t>
  </si>
  <si>
    <t>Purchase of Plantain Suckers for Planting to Provide Shed for Cocoa Seedling</t>
  </si>
  <si>
    <t>01010000390202</t>
  </si>
  <si>
    <t>Raising of 105,000 Oil Palm Seedlings at the 3 Senatorial Districts at N172/seedling</t>
  </si>
  <si>
    <t>TOTAL: MINISTRY OF AGRICULTURE</t>
  </si>
  <si>
    <t>TOTAL: OFFICE OF PUBLIC UTILITIES</t>
  </si>
  <si>
    <t>Renovation of Art Gallery and Museum</t>
  </si>
  <si>
    <t>Website Development</t>
  </si>
  <si>
    <t>05100000590101</t>
  </si>
  <si>
    <t>Rural Community Projects (RUCOMP)</t>
  </si>
  <si>
    <t>TOTAL: STATE INFORMATION TECHNOLOGY AGENCY (SITA)</t>
  </si>
  <si>
    <t>Creation of IT Resource Centre for Development of Youths IT Enterprenures</t>
  </si>
  <si>
    <t>ICT Development</t>
  </si>
  <si>
    <t>01110001650101</t>
  </si>
  <si>
    <t>01110001650102</t>
  </si>
  <si>
    <t>02090000040112</t>
  </si>
  <si>
    <t>Environmental Data Gathering, ICT /Geographical Information System Laboratory</t>
  </si>
  <si>
    <t>TOTAL: ONDO STATE WATER CORPORATION</t>
  </si>
  <si>
    <t>02100001180117</t>
  </si>
  <si>
    <t>02100001180118</t>
  </si>
  <si>
    <t>02100001180119</t>
  </si>
  <si>
    <t>Rehabilitation of Idoani Water Supply Scheme</t>
  </si>
  <si>
    <t>Rehabilitation of Oke-Igbo Water Supply Scheme</t>
  </si>
  <si>
    <t>Rehabilitation of Ilutitun Borehole Water Supply Scheme</t>
  </si>
  <si>
    <t>22100480</t>
  </si>
  <si>
    <t>SPG- National Youth Day/Subvention</t>
  </si>
  <si>
    <t>22100481</t>
  </si>
  <si>
    <t>SPG- Youth Summit</t>
  </si>
  <si>
    <t>22100482</t>
  </si>
  <si>
    <t>SPG- Mobilization/Sensitization</t>
  </si>
  <si>
    <t>22100483</t>
  </si>
  <si>
    <t>SPG- Monitoring and Data Collection on Youth</t>
  </si>
  <si>
    <t>22100484</t>
  </si>
  <si>
    <t>SPG- Running Grant to Youth Council</t>
  </si>
  <si>
    <t>22100485</t>
  </si>
  <si>
    <t>SPG- International Students Day Celebration</t>
  </si>
  <si>
    <t>22100486</t>
  </si>
  <si>
    <t>SPG- Radio &amp; TV Enlightenment Programme</t>
  </si>
  <si>
    <t>22100487</t>
  </si>
  <si>
    <t>SPG- Youth Officers &amp; Leaders Training</t>
  </si>
  <si>
    <t>22100490</t>
  </si>
  <si>
    <t>SPG- Grants to NYSC: State Office &amp; Regional Office</t>
  </si>
  <si>
    <t>22100491</t>
  </si>
  <si>
    <t>SPG- Sports Development Programmes</t>
  </si>
  <si>
    <t>22100492</t>
  </si>
  <si>
    <t>SPG- Youth Empowerment Capacity Building</t>
  </si>
  <si>
    <t>22100493</t>
  </si>
  <si>
    <t>SPG- National Conference and Capacity Building</t>
  </si>
  <si>
    <t>22100494</t>
  </si>
  <si>
    <t>SPG- Participation in National &amp; International Competitions/Festivals</t>
  </si>
  <si>
    <t>SPG- Workshop/Retreat/Training</t>
  </si>
  <si>
    <t>22100233</t>
  </si>
  <si>
    <r>
      <t xml:space="preserve">ADMIN CODE: 051300100100: </t>
    </r>
    <r>
      <rPr>
        <sz val="9"/>
        <color theme="1"/>
        <rFont val="Times New Roman"/>
        <family val="1"/>
      </rPr>
      <t>MINISTRY OF YOUTH AND SPORTS DEVELOPMENT</t>
    </r>
  </si>
  <si>
    <r>
      <t xml:space="preserve">ACCOUNTING OFFICER: </t>
    </r>
    <r>
      <rPr>
        <sz val="9"/>
        <rFont val="Times New Roman"/>
        <family val="1"/>
      </rPr>
      <t>PERMANENT SECRETARY, MINISTRY OF YOUTH AND SPORTS DEVELOPMENT</t>
    </r>
  </si>
  <si>
    <t>Ministry of Women Affairs and Social Development</t>
  </si>
  <si>
    <t>Cocoa Revolution Office</t>
  </si>
  <si>
    <t>Ondo State Water Coorporation</t>
  </si>
  <si>
    <t>Ondo State Rural Water Supply and Sanitation Agency (RUWASSA)</t>
  </si>
  <si>
    <t>Office of Public Utilities</t>
  </si>
  <si>
    <t>Ministry of Environment</t>
  </si>
  <si>
    <t>Directorate of Rural and Community Development</t>
  </si>
  <si>
    <t>State InformationTechnology Agency (SITA)</t>
  </si>
  <si>
    <t>Ministry of Agriculture</t>
  </si>
  <si>
    <t>Construction and Furnishing of SIFMIS Primary Data Centre (PDC)</t>
  </si>
  <si>
    <t>02130000910105</t>
  </si>
  <si>
    <t>02130000910107</t>
  </si>
  <si>
    <t>Identification/Verification of Government Assets across the State</t>
  </si>
  <si>
    <t>22100215</t>
  </si>
  <si>
    <t>SPG- Hosting of Boundary meetings and other related boundary matters to meet emergency need both inter and intra State Boundary disputes</t>
  </si>
  <si>
    <t>22100216</t>
  </si>
  <si>
    <t>SPG- Sensitization/Workshop on Land/Boundary Related Matters</t>
  </si>
  <si>
    <t>22100217</t>
  </si>
  <si>
    <t>SPG- Demarcation of Inter and Intra State Boundary Exercise/Field Tracing and Verification</t>
  </si>
  <si>
    <t>22100218</t>
  </si>
  <si>
    <t>SPG- Documentary Journals on Boundary Matters</t>
  </si>
  <si>
    <t>22100219</t>
  </si>
  <si>
    <t>SPG- Border Community development agency Activities</t>
  </si>
  <si>
    <t>22100220</t>
  </si>
  <si>
    <t>SPG- Ondo/Osun Disputed Areas and other Related Ondo/Osun Matters</t>
  </si>
  <si>
    <t>TOTAL:</t>
  </si>
  <si>
    <r>
      <rPr>
        <b/>
        <sz val="9"/>
        <color theme="1"/>
        <rFont val="Times New Roman"/>
        <family val="1"/>
      </rPr>
      <t>ADMIN CODE: 011100300100:</t>
    </r>
    <r>
      <rPr>
        <sz val="9"/>
        <color theme="1"/>
        <rFont val="Times New Roman"/>
        <family val="1"/>
      </rPr>
      <t xml:space="preserve"> ONDO STATE BOUNDARY COMMISSION   </t>
    </r>
  </si>
  <si>
    <r>
      <t xml:space="preserve">ACCOUNTING OFFICER: </t>
    </r>
    <r>
      <rPr>
        <sz val="9"/>
        <rFont val="Times New Roman"/>
        <family val="1"/>
      </rPr>
      <t>SECRETARY,  ONDO STATE BOUNDARY COMMISSION</t>
    </r>
  </si>
  <si>
    <t>Ondo State Boundary Commission</t>
  </si>
  <si>
    <t>OVERHEADS</t>
  </si>
  <si>
    <t>22020712</t>
  </si>
  <si>
    <t>OTHER CONSULTING SERVICES</t>
  </si>
  <si>
    <r>
      <rPr>
        <b/>
        <sz val="9"/>
        <color theme="1"/>
        <rFont val="Times New Roman"/>
        <family val="1"/>
      </rPr>
      <t>ADMIN CODE: 026300100100:</t>
    </r>
    <r>
      <rPr>
        <sz val="9"/>
        <color theme="1"/>
        <rFont val="Times New Roman"/>
        <family val="1"/>
      </rPr>
      <t xml:space="preserve"> MINISTRY OF PHYSICAL PLANNING AND URBAN DEVELOPMENT   </t>
    </r>
  </si>
  <si>
    <r>
      <t xml:space="preserve">ACCOUNTING OFFICER: </t>
    </r>
    <r>
      <rPr>
        <sz val="9"/>
        <rFont val="Times New Roman"/>
        <family val="1"/>
      </rPr>
      <t>PERMANENT</t>
    </r>
    <r>
      <rPr>
        <b/>
        <sz val="9"/>
        <rFont val="Times New Roman"/>
        <family val="1"/>
      </rPr>
      <t xml:space="preserve"> </t>
    </r>
    <r>
      <rPr>
        <sz val="9"/>
        <rFont val="Times New Roman"/>
        <family val="1"/>
      </rPr>
      <t>SECRETARY, MINISTRY OF PHYSICAL PLANNING AND URBAN DEVELOPMENT</t>
    </r>
  </si>
  <si>
    <t>Ministry of Physical Planning and Urban Development</t>
  </si>
  <si>
    <t>Contingency</t>
  </si>
  <si>
    <t>012400400300</t>
  </si>
  <si>
    <t>ONDO STATE SECURITY NETWORK AGENCY (AMOTEKUN CORPS)</t>
  </si>
  <si>
    <t>TOTAL: ONDO STATE SECURITY NETWORK AGENCY (AMOTEKUN CORPS)</t>
  </si>
  <si>
    <t>SUMMARY OF TOTAL GRANTS AND CONTRIBUTIONS BUDGET 2021</t>
  </si>
  <si>
    <t>012400400100</t>
  </si>
  <si>
    <t>NIGERIA SECURITY AND CIVIL DEFENCE CORPS</t>
  </si>
  <si>
    <t>012400400200</t>
  </si>
  <si>
    <t>NIGERIAN LEGION</t>
  </si>
  <si>
    <t>012500100200</t>
  </si>
  <si>
    <t>SENIOR STAFF CLUB</t>
  </si>
  <si>
    <t>023305200100</t>
  </si>
  <si>
    <t>ONDO STATE AFORESTATION PROJECT</t>
  </si>
  <si>
    <t>023400100300</t>
  </si>
  <si>
    <t>PUBLIC WORKS DEPARTMENT (OSARMCO)</t>
  </si>
  <si>
    <t>OLUSEGUN AGAGU UNIVERSITY OF SCIENCE AND TECHNOLOGY, OKITIPUPA</t>
  </si>
  <si>
    <t>053905300100</t>
  </si>
  <si>
    <t>ONDO STATE FOOTBALL ACADEMY</t>
  </si>
  <si>
    <t>022205700100</t>
  </si>
  <si>
    <t>Ondo State Security Network Agency (AMOTEKUN CORPS)</t>
  </si>
  <si>
    <r>
      <t>AMOUNT(</t>
    </r>
    <r>
      <rPr>
        <b/>
        <strike/>
        <sz val="10"/>
        <color theme="1"/>
        <rFont val="Times New Roman"/>
        <family val="1"/>
      </rPr>
      <t>N</t>
    </r>
    <r>
      <rPr>
        <b/>
        <sz val="11"/>
        <color theme="1"/>
        <rFont val="Times New Roman"/>
        <family val="1"/>
      </rPr>
      <t>)</t>
    </r>
  </si>
  <si>
    <t>Central Medical Store</t>
  </si>
  <si>
    <r>
      <rPr>
        <b/>
        <sz val="9"/>
        <color theme="1"/>
        <rFont val="Times New Roman"/>
        <family val="1"/>
      </rPr>
      <t>ADMIN CODE: 011100100200:</t>
    </r>
    <r>
      <rPr>
        <sz val="9"/>
        <color theme="1"/>
        <rFont val="Times New Roman"/>
        <family val="1"/>
      </rPr>
      <t xml:space="preserve"> DEPUTY GOVERNOR'S OFFICE   </t>
    </r>
  </si>
  <si>
    <t>22100211</t>
  </si>
  <si>
    <t>SPG- SEMA</t>
  </si>
  <si>
    <t>22100212</t>
  </si>
  <si>
    <t>SPG- Attendance of State Functions on Behalf of the Governor</t>
  </si>
  <si>
    <t>22100213</t>
  </si>
  <si>
    <t>SPG- Maintenance of Deputy Governor's Lodge</t>
  </si>
  <si>
    <t>22100214</t>
  </si>
  <si>
    <t>SPG- Maintenance of Convoy Vehicles</t>
  </si>
  <si>
    <t>05130001450101</t>
  </si>
  <si>
    <t>Conduct of Local Government Election</t>
  </si>
  <si>
    <t>TOTAL: ONDO STATE INDEPENDENT ELECTORAL COMMISSION (ODIEC)</t>
  </si>
  <si>
    <t>Contingency/Additional</t>
  </si>
  <si>
    <t>SPG- Preparation of Teachers Salary</t>
  </si>
  <si>
    <t>SUMMARY OF ALLOCATION OF FUND</t>
  </si>
  <si>
    <t>TOTAL: MINISTRY OF ECONOMIC PLANNING AND BUDGET</t>
  </si>
  <si>
    <t>FG Wilson 30KVA Generating Set for Budget Department</t>
  </si>
  <si>
    <t>Ministry of Economic Planning and Budget</t>
  </si>
  <si>
    <t>22100254</t>
  </si>
  <si>
    <t>SPG- Website Development/Maintenace</t>
  </si>
  <si>
    <t>22100262</t>
  </si>
  <si>
    <t>22100428</t>
  </si>
  <si>
    <t>SPG- Special Command Performance, Stage Equipment, Weigh-in etc.</t>
  </si>
  <si>
    <t>22100429</t>
  </si>
  <si>
    <t>SPG- Participation at NAFEST</t>
  </si>
  <si>
    <t>22100430</t>
  </si>
  <si>
    <t>SPG- Abuja Carnival</t>
  </si>
  <si>
    <t>22100432</t>
  </si>
  <si>
    <t>SPG- School Arts/Cultural Competition/Cultural Training</t>
  </si>
  <si>
    <t>22100433</t>
  </si>
  <si>
    <t>SPG- Acquisition/Production of Artworks</t>
  </si>
  <si>
    <t>22100435</t>
  </si>
  <si>
    <t>SPG- World Tourism Day / Tourism Week</t>
  </si>
  <si>
    <t>22100436</t>
  </si>
  <si>
    <t>SPG- Packaging and Promotion of Notable Traditional Festivals and Ceremonies: Igogo, Odunoba, Ogun, Malokun, Okota, Orosun, etc</t>
  </si>
  <si>
    <t>22100437</t>
  </si>
  <si>
    <t>SPG- Weekly Radio and Television Programmes</t>
  </si>
  <si>
    <t>22100438</t>
  </si>
  <si>
    <t>SPG- Participation in exhibitions/workshops/trade fairs</t>
  </si>
  <si>
    <t>22100440</t>
  </si>
  <si>
    <t>SPG- World Cultural Day (21st May, annually)</t>
  </si>
  <si>
    <t>22100442</t>
  </si>
  <si>
    <t>SPG- World Artist Day</t>
  </si>
  <si>
    <t>22100443</t>
  </si>
  <si>
    <t>SPG- Development of Tourist Centers</t>
  </si>
  <si>
    <t>22100444</t>
  </si>
  <si>
    <t>SPG- Techno and Socio-Cultural Tourism Research and Documentation.</t>
  </si>
  <si>
    <t>22100445</t>
  </si>
  <si>
    <t>SPG- Maintenance of Idanre Hill Tourist Center</t>
  </si>
  <si>
    <r>
      <t xml:space="preserve">ADMIN CODE: 023600100100: </t>
    </r>
    <r>
      <rPr>
        <sz val="9"/>
        <color theme="1"/>
        <rFont val="Times New Roman"/>
        <family val="1"/>
      </rPr>
      <t>MINISTRY OF CULTURE AND TOURISM</t>
    </r>
  </si>
  <si>
    <r>
      <t xml:space="preserve">ACCOUNTING OFFICER: </t>
    </r>
    <r>
      <rPr>
        <sz val="9"/>
        <rFont val="Times New Roman"/>
        <family val="1"/>
      </rPr>
      <t>PERMANENT SECRETARY, MINISTRY OF CULTURE AND TOURISM</t>
    </r>
  </si>
  <si>
    <t>TOTAL: MINISTRY OF CULTURE AND TOURISM</t>
  </si>
  <si>
    <t>Ministry of Culture and Tourism</t>
  </si>
  <si>
    <t>Purchase/Acquisition of Vehicles and Others</t>
  </si>
  <si>
    <t>05020005040301</t>
  </si>
  <si>
    <t>Provision of Security Consumables</t>
  </si>
  <si>
    <t>Ondo State Investment Promotion Agency (ONDIPA)</t>
  </si>
  <si>
    <t>01010004300305</t>
  </si>
  <si>
    <t>Establishment of Cocoa Plantation at Ijugbere, Owo</t>
  </si>
  <si>
    <t>02120002390101</t>
  </si>
  <si>
    <t>Investment Promotion and Allied Programmes</t>
  </si>
  <si>
    <t>Rehabilitation/Construction of State Highways</t>
  </si>
  <si>
    <t>02170001300106</t>
  </si>
  <si>
    <t>TOTAL: MINISTRY OF WORKS AND INFRASTRUCTURE</t>
  </si>
  <si>
    <t>02100001070107</t>
  </si>
  <si>
    <t>Support for Mini Grid</t>
  </si>
  <si>
    <t>WAEC SSS Certificate Examination and Re-accreditation of Public Secondary Schools by NECO.</t>
  </si>
  <si>
    <t>03050002700303</t>
  </si>
  <si>
    <t>Strategic Intervention in Knowledge Based Education</t>
  </si>
  <si>
    <t>03050002700306</t>
  </si>
  <si>
    <t>HOSPITALS MANAGEMENT BOARD</t>
  </si>
  <si>
    <t>03110000280201</t>
  </si>
  <si>
    <t>Development of Centralized Data Services for Residency Card</t>
  </si>
  <si>
    <r>
      <t xml:space="preserve">ADMIN CODE: 022001200100: </t>
    </r>
    <r>
      <rPr>
        <sz val="9"/>
        <color theme="1"/>
        <rFont val="Times New Roman"/>
        <family val="1"/>
      </rPr>
      <t>OFFICE OF AUDITOR GENERAL FOR LOCAL GOVERNMENT</t>
    </r>
  </si>
  <si>
    <r>
      <t xml:space="preserve">ACCOUNTING OFFICER: </t>
    </r>
    <r>
      <rPr>
        <sz val="9"/>
        <rFont val="Times New Roman"/>
        <family val="1"/>
      </rPr>
      <t>AUDITOR GENERAL FOR LOCAL GOVERNMENT, OFFICE OF AUDITOR GENERAL FOR LOCAL GOVERNMENT</t>
    </r>
  </si>
  <si>
    <t>22100359</t>
  </si>
  <si>
    <t>SPG- Special Audit Investigation and Allied Matters</t>
  </si>
  <si>
    <t>Office of Auditor General for Local Government</t>
  </si>
  <si>
    <r>
      <t xml:space="preserve">ADMIN CODE: 053905100100: </t>
    </r>
    <r>
      <rPr>
        <sz val="9"/>
        <color theme="1"/>
        <rFont val="Times New Roman"/>
        <family val="1"/>
      </rPr>
      <t>ONDO STATE SPORTS COUNCIL</t>
    </r>
  </si>
  <si>
    <r>
      <t xml:space="preserve">ACCOUNTING OFFICER: </t>
    </r>
    <r>
      <rPr>
        <sz val="9"/>
        <rFont val="Times New Roman"/>
        <family val="1"/>
      </rPr>
      <t>SECRETARY, ONDO STATE SPORTS COUNCIL</t>
    </r>
  </si>
  <si>
    <t>22100271</t>
  </si>
  <si>
    <t>22100422</t>
  </si>
  <si>
    <t>22100605</t>
  </si>
  <si>
    <t>22100606</t>
  </si>
  <si>
    <t>22100607</t>
  </si>
  <si>
    <t>22100608</t>
  </si>
  <si>
    <t>22100609</t>
  </si>
  <si>
    <t>22100610</t>
  </si>
  <si>
    <t>22100611</t>
  </si>
  <si>
    <t>22100612</t>
  </si>
  <si>
    <t>22100613</t>
  </si>
  <si>
    <t>22100614</t>
  </si>
  <si>
    <t>22100615</t>
  </si>
  <si>
    <t>22100616</t>
  </si>
  <si>
    <t>22100617</t>
  </si>
  <si>
    <t>22100618</t>
  </si>
  <si>
    <t>22100619</t>
  </si>
  <si>
    <t>22100620</t>
  </si>
  <si>
    <t>22100621</t>
  </si>
  <si>
    <t>22100668</t>
  </si>
  <si>
    <t>SPG- Training/Manpower Development</t>
  </si>
  <si>
    <t>SPG- National Competitions</t>
  </si>
  <si>
    <t>SPG- Zonal Elimination</t>
  </si>
  <si>
    <t>SPG- International Competitions</t>
  </si>
  <si>
    <t>SPG- Male and Female Handball</t>
  </si>
  <si>
    <t>SPG- Male and female Basketball</t>
  </si>
  <si>
    <t>SPG- Male and Female Hockey Teams</t>
  </si>
  <si>
    <t>SPG- Male and Female Volleyball Teams</t>
  </si>
  <si>
    <t>SPG- Male and Female Challenge Cup</t>
  </si>
  <si>
    <t>SPG- Governors Cup Football (Male and Female) and Age Group Football Competition.</t>
  </si>
  <si>
    <t>SPG- National Sports Festival (Camping)</t>
  </si>
  <si>
    <t>SPG- National Sports festival (Festival Proper)</t>
  </si>
  <si>
    <t>SPG- Developmental Programme for all Sports(Catch them Young)</t>
  </si>
  <si>
    <t>SPG- Hosting of National Competitions, Boxing and Gymnastics.</t>
  </si>
  <si>
    <t>SPG- Local in-service Training</t>
  </si>
  <si>
    <t>SPG- Allowances and Stipends.</t>
  </si>
  <si>
    <t>SPG- Age Group, National and International Table Tennis Competition</t>
  </si>
  <si>
    <t>SPG- Management of Athletics Activities</t>
  </si>
  <si>
    <t>SPG- Athletes: Cycling, Squash Racket, Weightlifting, etc</t>
  </si>
  <si>
    <t>SPG- Maintenance &amp; Fueling OF GENERATOR</t>
  </si>
  <si>
    <t>Ondo State Sports Council</t>
  </si>
  <si>
    <t>Ondo State Water Corporation</t>
  </si>
  <si>
    <t>Teaching Service Commission</t>
  </si>
  <si>
    <t>Consolidated Revenue Fund Charges</t>
  </si>
  <si>
    <t>Agric Input and Supply Agency</t>
  </si>
  <si>
    <t>Ondo State Library Board</t>
  </si>
  <si>
    <t>Hospital Management Board</t>
  </si>
  <si>
    <t>Contributory Health Commission</t>
  </si>
  <si>
    <t>Ondo State Football Development Agency</t>
  </si>
  <si>
    <t>New Map Project Office</t>
  </si>
  <si>
    <t>Ondo State Law Commission</t>
  </si>
  <si>
    <t>Ondo State Pensions Transitional Department</t>
  </si>
  <si>
    <t>State Pension Commission</t>
  </si>
  <si>
    <t>Inter-Governmental Affairs and Multilateral Relations</t>
  </si>
  <si>
    <t>Service Matters Department</t>
  </si>
  <si>
    <t>House of Assembly Commission</t>
  </si>
  <si>
    <t>Ondo State Signage Agency</t>
  </si>
  <si>
    <t>052100200100</t>
  </si>
  <si>
    <r>
      <t xml:space="preserve">ACCOUNTING OFFICER: </t>
    </r>
    <r>
      <rPr>
        <sz val="9"/>
        <rFont val="Times New Roman"/>
        <family val="1"/>
      </rPr>
      <t>PERMANENT</t>
    </r>
    <r>
      <rPr>
        <b/>
        <sz val="9"/>
        <rFont val="Times New Roman"/>
        <family val="1"/>
      </rPr>
      <t xml:space="preserve"> </t>
    </r>
    <r>
      <rPr>
        <sz val="9"/>
        <rFont val="Times New Roman"/>
        <family val="1"/>
      </rPr>
      <t>SECRETARY,  DEPUTY GOVERNOR'S OFFICE</t>
    </r>
  </si>
  <si>
    <t>Deputy Governor's Office</t>
  </si>
  <si>
    <t xml:space="preserve">Ministry of Youth and Sports Development </t>
  </si>
  <si>
    <t>Ministry of Education Science and Technology</t>
  </si>
  <si>
    <t>Office of Surveyor General for the State</t>
  </si>
  <si>
    <t>Loan Repayment</t>
  </si>
  <si>
    <t xml:space="preserve">Transfer to Local Government JAAC </t>
  </si>
  <si>
    <t>Transfer to Internal Revenue Services</t>
  </si>
  <si>
    <t xml:space="preserve">TOTAL </t>
  </si>
  <si>
    <t>025000200100</t>
  </si>
  <si>
    <t>021511700100</t>
  </si>
  <si>
    <t>022000900100</t>
  </si>
  <si>
    <t>DEPARTMENT OF PUBLIC SERVICE REFORM AND DEVELOPMENT (DPSRD)</t>
  </si>
  <si>
    <t>011111500100</t>
  </si>
  <si>
    <t>022001100100</t>
  </si>
  <si>
    <t>022001200100</t>
  </si>
  <si>
    <t>021500100300</t>
  </si>
  <si>
    <t>ONDO STATE LIVELIHOOD IMPROVEMENT FAMILY ENTERPRISE -NIGER DELTA (LIFE-ND)</t>
  </si>
  <si>
    <t>022000100500</t>
  </si>
  <si>
    <t>STATE RESOURCES AND REVENUE MONITORING DEPARTMENT</t>
  </si>
  <si>
    <t>022000700200</t>
  </si>
  <si>
    <t>TREASURY CASH OFFICES (TCOS)</t>
  </si>
  <si>
    <t>022205600100</t>
  </si>
  <si>
    <t>023800100700</t>
  </si>
  <si>
    <t>ECONOMIC INTELLIGENCE OFFICE</t>
  </si>
  <si>
    <t>023800100800</t>
  </si>
  <si>
    <t>ONDO-CARES PROGRAMME COORDINATING OFFICE</t>
  </si>
  <si>
    <t>026300100200</t>
  </si>
  <si>
    <t>MINISTRY OF PHYSICAL PLANNING AND URBAN DEVELOPMENT -AREA OFFICES</t>
  </si>
  <si>
    <t>026300200100</t>
  </si>
  <si>
    <t>ONDO STATE BUILDING CONTROL AGENCY</t>
  </si>
  <si>
    <t>045100200100</t>
  </si>
  <si>
    <t>ONDO STATE OIL PRODUCING AREA DEVELOPMENT COMMISSION</t>
  </si>
  <si>
    <t>137</t>
  </si>
  <si>
    <t>138</t>
  </si>
  <si>
    <t>139</t>
  </si>
  <si>
    <t>140</t>
  </si>
  <si>
    <t>141</t>
  </si>
  <si>
    <t>051705500100</t>
  </si>
  <si>
    <t>142</t>
  </si>
  <si>
    <t>143</t>
  </si>
  <si>
    <t>144</t>
  </si>
  <si>
    <t>052100100200</t>
  </si>
  <si>
    <t>MALARIA ELIMINATION AND NUTRITION IMPROVEMENT PROJECT OFFICE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</si>
  <si>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</si>
  <si>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</si>
  <si>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</si>
  <si>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</si>
  <si>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</si>
  <si>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</si>
  <si>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</si>
  <si>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</si>
  <si>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</si>
  <si>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014900100100</t>
  </si>
  <si>
    <t>014900100200</t>
  </si>
  <si>
    <t>GRANTS AND CONTRIBUTIONS</t>
  </si>
  <si>
    <t>SOCIAL CONTRIBUTIONS AND SOCIAL BENEFITS</t>
  </si>
  <si>
    <t>023400200100</t>
  </si>
  <si>
    <t>OFFICE OF THE SURVEYOR GENERAL FOR THE STATE</t>
  </si>
  <si>
    <r>
      <t xml:space="preserve">ACCOUNTING OFFICER: </t>
    </r>
    <r>
      <rPr>
        <sz val="9"/>
        <rFont val="Times New Roman"/>
        <family val="1"/>
      </rPr>
      <t>DIRECTOR, CENTRAL MEDICAL STORE</t>
    </r>
  </si>
  <si>
    <t>052100100300</t>
  </si>
  <si>
    <r>
      <rPr>
        <b/>
        <sz val="9"/>
        <color theme="1"/>
        <rFont val="Times New Roman"/>
        <family val="1"/>
      </rPr>
      <t>ADMIN CODE: 052100100300:</t>
    </r>
    <r>
      <rPr>
        <sz val="9"/>
        <color theme="1"/>
        <rFont val="Times New Roman"/>
        <family val="1"/>
      </rPr>
      <t xml:space="preserve"> CENTRAL MEDICAL STORE</t>
    </r>
  </si>
  <si>
    <t>CENTRAL MEDICAL STORE</t>
  </si>
  <si>
    <t>MINISTRY OF PHYSICAL PLANNING AND URBAN DEVELOPMENT - AREA OFFICES</t>
  </si>
  <si>
    <t>EXECUTING AGENCY</t>
  </si>
  <si>
    <t>CAPITAL EXPENDITURE</t>
  </si>
  <si>
    <r>
      <t xml:space="preserve">ACCOUNTING OFFICER: </t>
    </r>
    <r>
      <rPr>
        <sz val="9"/>
        <rFont val="Times New Roman"/>
        <family val="1"/>
      </rPr>
      <t>COORDINATOR, ONDO STATE ELECTRICITY REGULATORY BUREAU (OSERB)</t>
    </r>
  </si>
  <si>
    <r>
      <rPr>
        <b/>
        <sz val="9"/>
        <rFont val="Times New Roman"/>
        <family val="1"/>
      </rPr>
      <t>ADMIN CODE: 023400200100:</t>
    </r>
    <r>
      <rPr>
        <sz val="9"/>
        <rFont val="Times New Roman"/>
        <family val="1"/>
      </rPr>
      <t xml:space="preserve"> OFFICE OF SURVEYOR GENERAL FOR THE STATE</t>
    </r>
  </si>
  <si>
    <r>
      <t xml:space="preserve">ACCOUNTING OFFICER: </t>
    </r>
    <r>
      <rPr>
        <sz val="9"/>
        <rFont val="Times New Roman"/>
        <family val="1"/>
      </rPr>
      <t>SURVEYOR OFFICE OF SURVEYOR GENERAL</t>
    </r>
  </si>
  <si>
    <r>
      <rPr>
        <b/>
        <sz val="9"/>
        <rFont val="Times New Roman"/>
        <family val="1"/>
      </rPr>
      <t>ADMIN CODE: 023100400100:</t>
    </r>
    <r>
      <rPr>
        <sz val="9"/>
        <rFont val="Times New Roman"/>
        <family val="1"/>
      </rPr>
      <t xml:space="preserve"> ONDO STATE ELECTRICITY REGULATORY BUREAU (OSERB)   </t>
    </r>
  </si>
  <si>
    <t>02170001300108</t>
  </si>
  <si>
    <t>Dualisation of Shoprite - Oda Town</t>
  </si>
  <si>
    <t>02170001300115</t>
  </si>
  <si>
    <t>Allocation of the Direct Labour Engineering Unit (DILEU) Ministry of Works</t>
  </si>
  <si>
    <t>02170002650301</t>
  </si>
  <si>
    <t>Purchase of 2 Fire fighting Trucks</t>
  </si>
  <si>
    <t>02170001300117</t>
  </si>
  <si>
    <t>Maintenance of Street Lights</t>
  </si>
  <si>
    <t>023100400100</t>
  </si>
  <si>
    <t>154</t>
  </si>
  <si>
    <t>155</t>
  </si>
  <si>
    <t>22040105</t>
  </si>
  <si>
    <t>22040116</t>
  </si>
  <si>
    <t>22040110</t>
  </si>
  <si>
    <t>Agency</t>
  </si>
  <si>
    <t>Grants to Government Owned Companies</t>
  </si>
  <si>
    <t>Grants to Government Owned Agencies/Companies</t>
  </si>
  <si>
    <t>Grants to Federal Government Agencies</t>
  </si>
  <si>
    <t>Grants to Academic Institutions</t>
  </si>
  <si>
    <r>
      <rPr>
        <b/>
        <sz val="9"/>
        <rFont val="Times New Roman"/>
        <family val="1"/>
      </rPr>
      <t>ADMIN CODE: 011101300200:</t>
    </r>
    <r>
      <rPr>
        <sz val="9"/>
        <rFont val="Times New Roman"/>
        <family val="1"/>
      </rPr>
      <t xml:space="preserve"> GENERAL ADMINISTRATION   </t>
    </r>
  </si>
  <si>
    <r>
      <t xml:space="preserve">ACCOUNTING OFFICER: </t>
    </r>
    <r>
      <rPr>
        <sz val="9"/>
        <rFont val="Times New Roman"/>
        <family val="1"/>
      </rPr>
      <t>PERMANENT SECRETARY, GENERAL ADMINISTRATION</t>
    </r>
  </si>
  <si>
    <t>Ondo State Electricity Regulatory Bureau (OSERB)</t>
  </si>
  <si>
    <r>
      <t xml:space="preserve">ADMIN CODE: 023305100100: </t>
    </r>
    <r>
      <rPr>
        <sz val="9"/>
        <color theme="1"/>
        <rFont val="Times New Roman"/>
        <family val="1"/>
      </rPr>
      <t>MINISTRY OF</t>
    </r>
    <r>
      <rPr>
        <b/>
        <sz val="9"/>
        <color theme="1"/>
        <rFont val="Times New Roman"/>
        <family val="1"/>
      </rPr>
      <t xml:space="preserve"> </t>
    </r>
    <r>
      <rPr>
        <sz val="9"/>
        <color theme="1"/>
        <rFont val="Times New Roman"/>
        <family val="1"/>
      </rPr>
      <t>NATURAL RESOURCES</t>
    </r>
  </si>
  <si>
    <r>
      <t xml:space="preserve">ACCOUNTING OFFICER: </t>
    </r>
    <r>
      <rPr>
        <sz val="9"/>
        <rFont val="Times New Roman"/>
        <family val="1"/>
      </rPr>
      <t>PERMANENT SECRETARY, MINISTRY OF NATURAL RESOURCES</t>
    </r>
  </si>
  <si>
    <t>Ministry of Works and Infrastructure</t>
  </si>
  <si>
    <t>Development Partners-related Support Programmes</t>
  </si>
  <si>
    <t>TOTAL: BUREAU OF PUBLIC PROCUREMENT (BPP)</t>
  </si>
  <si>
    <t>Bureau of Public Procurement (BPP)</t>
  </si>
  <si>
    <t>Completion of ODBPP Building project</t>
  </si>
  <si>
    <t>03130001200149</t>
  </si>
  <si>
    <t>Completion of the Public and Inter-Governmental Relations Office</t>
  </si>
  <si>
    <t>03130001200154</t>
  </si>
  <si>
    <t>1. Capacity Capacity Building for Political Office Holders, Accounting Officers, Directors, Accountants, Auditors, Professioners, Vendors, CSOs, Procurement Officers and Others 2. International Training</t>
  </si>
  <si>
    <t>03130001200151</t>
  </si>
  <si>
    <t>Production of Standard Bidding Documents</t>
  </si>
  <si>
    <t>03130001200155</t>
  </si>
  <si>
    <t>03130001200156</t>
  </si>
  <si>
    <t>Purchase of Motor Vehicles (Lexus GX 460 (Fairly Used @N25.71m and 1 New Toyota Hilux @N30.03)</t>
  </si>
  <si>
    <t>03130001200152</t>
  </si>
  <si>
    <t>COVID-19 Response Programme: Support for/Contract Award to SMEs</t>
  </si>
  <si>
    <t>02110000770101</t>
  </si>
  <si>
    <t>SUMMARY OF REDUCTION</t>
  </si>
  <si>
    <t>Internal Revenue Services</t>
  </si>
  <si>
    <t>Total Reduction in Independent Revenue</t>
  </si>
  <si>
    <t>SUMMARY OF INCREASE IN CREDIT FACILITY</t>
  </si>
  <si>
    <t>Total Increase</t>
  </si>
  <si>
    <t>DETAILS OF REVENUE ADJUSTMENTS</t>
  </si>
  <si>
    <t>Sub-Total:</t>
  </si>
  <si>
    <t>APPROVED ESTIMATES 2021 (N)</t>
  </si>
  <si>
    <t>ADJUSTMENTS (N)</t>
  </si>
  <si>
    <t>ONDO STATE ELECTRICITY REGULATORY BUREAU (OSERB)</t>
  </si>
  <si>
    <t>12010101</t>
  </si>
  <si>
    <t>12010104</t>
  </si>
  <si>
    <t>12010107</t>
  </si>
  <si>
    <t>12010110</t>
  </si>
  <si>
    <t>12010112</t>
  </si>
  <si>
    <t>12010113</t>
  </si>
  <si>
    <t>12020132</t>
  </si>
  <si>
    <t>12020133</t>
  </si>
  <si>
    <t>12020154</t>
  </si>
  <si>
    <t>12020427</t>
  </si>
  <si>
    <t>12020447</t>
  </si>
  <si>
    <t>12020448</t>
  </si>
  <si>
    <t>12020449</t>
  </si>
  <si>
    <t>12020624</t>
  </si>
  <si>
    <t>12020628</t>
  </si>
  <si>
    <t>PERSONAL TAXES (E.G PAYE)</t>
  </si>
  <si>
    <t>STAMP DUTY</t>
  </si>
  <si>
    <t>CAPITAL GAIN TAX</t>
  </si>
  <si>
    <t>WITHOLDING TAX</t>
  </si>
  <si>
    <t>DIRECT ASSESMENT</t>
  </si>
  <si>
    <t>MOTOR VEHICLE LICENCES</t>
  </si>
  <si>
    <t>DRIVERS' LICENCES</t>
  </si>
  <si>
    <t>NEW VEHICLE REGISTRATION SCHEME FEES</t>
  </si>
  <si>
    <t>TENDER FEES</t>
  </si>
  <si>
    <t>LAND USE FEES</t>
  </si>
  <si>
    <t>DEVELOPMENT LEVIES</t>
  </si>
  <si>
    <t>BUSINESS/TRADE OPERATING FEES</t>
  </si>
  <si>
    <t>SALES OF VEHICLE PLATE NUMBER/VEHICLE REGISTRATION BOOKLET</t>
  </si>
  <si>
    <t>SALES OF SOUVENIR (TICKET, STICKERS, APRON, E.TC.)</t>
  </si>
  <si>
    <t>ECONOMIC SEGMENT</t>
  </si>
  <si>
    <t>CONSUMPTION TAX</t>
  </si>
  <si>
    <t>11010101</t>
  </si>
  <si>
    <t>11010106</t>
  </si>
  <si>
    <t>11010201</t>
  </si>
  <si>
    <t>11010301</t>
  </si>
  <si>
    <t>12020147</t>
  </si>
  <si>
    <t>12020611</t>
  </si>
  <si>
    <t>12020901</t>
  </si>
  <si>
    <t>12021102</t>
  </si>
  <si>
    <t>12021210</t>
  </si>
  <si>
    <t>13020301</t>
  </si>
  <si>
    <t>14070201</t>
  </si>
  <si>
    <t>14070206</t>
  </si>
  <si>
    <t>14070207</t>
  </si>
  <si>
    <t>14070208</t>
  </si>
  <si>
    <t>14100101</t>
  </si>
  <si>
    <t>41020101</t>
  </si>
  <si>
    <t>41020106</t>
  </si>
  <si>
    <t>42030101</t>
  </si>
  <si>
    <t>42030103</t>
  </si>
  <si>
    <t>43030104</t>
  </si>
  <si>
    <t>STATUTORY ALLOCATION</t>
  </si>
  <si>
    <t>MINERAL DERIVATION</t>
  </si>
  <si>
    <t>SHARE OF VAT</t>
  </si>
  <si>
    <t>EXCESS CRUDE</t>
  </si>
  <si>
    <t>REGISTRATION FEES</t>
  </si>
  <si>
    <t>PROCEEDS FROM SALES OF GOVT. VEHICLES</t>
  </si>
  <si>
    <t>RENT ON GOVERNMENT LAND</t>
  </si>
  <si>
    <t>DIVIDEND RECEIVED</t>
  </si>
  <si>
    <t>BANK INTEREST</t>
  </si>
  <si>
    <t>DOMESTIC GRANTS</t>
  </si>
  <si>
    <t>REFUND ON FEDERAL ROADS</t>
  </si>
  <si>
    <t>FOREX ACCOUNT STABILIZATION/EXCESS CHARGES REFUND</t>
  </si>
  <si>
    <t>WITHHOLDING TAX REFUND FROM FGN</t>
  </si>
  <si>
    <t>REFUND ON EXCESS CRUDE</t>
  </si>
  <si>
    <t>GAIN ON FOREIGN EXCHANGE</t>
  </si>
  <si>
    <t>SHORT TERM BORROWINGS/DOMESTIC LOAN</t>
  </si>
  <si>
    <t>BUDGET SUPPORT</t>
  </si>
  <si>
    <t>STATE BONDS and OTHER LONG TERM BORROWINGS</t>
  </si>
  <si>
    <t>MULTI-LATERAL LOANS - LONG TERM</t>
  </si>
  <si>
    <t>CASH RESERVE/ROLL-OVER FUND</t>
  </si>
  <si>
    <t>022000800100: INTERNAL REVENUE SERVICES</t>
  </si>
  <si>
    <t>022000100100: MINISTRY OF FINANCE</t>
  </si>
  <si>
    <t>Addition</t>
  </si>
  <si>
    <t>Reduction</t>
  </si>
  <si>
    <t>GRANT TOTAL:</t>
  </si>
  <si>
    <t>A: REDUCTION IN INDEPENDENT REVENUE AND SHORT TERM BORROWING</t>
  </si>
  <si>
    <t>B: INCREASE IN LONG TERM CREDIT FACILITY</t>
  </si>
  <si>
    <t>05020004890322</t>
  </si>
  <si>
    <t>02020000690222</t>
  </si>
  <si>
    <t>05020002400245</t>
  </si>
  <si>
    <t xml:space="preserve">Renovation/Conversion of Staff Quarters to Clinic and Assembly Hall </t>
  </si>
  <si>
    <t>Overheads</t>
  </si>
  <si>
    <t>Procurement of HP Pavilion all in one Laptop/Desktops</t>
  </si>
  <si>
    <t>Purchase of Photocopier AR 6020 (Sharp) with Installation (4 No with stand)</t>
  </si>
  <si>
    <t>Purchase of Scanner Jet 5590 digital flat screen for office use</t>
  </si>
  <si>
    <t>Purchase of UPS, Extension Boxes and Accesories</t>
  </si>
  <si>
    <t>Provision of Internet Facility</t>
  </si>
  <si>
    <t>Provision of Intercom Facility</t>
  </si>
  <si>
    <t>Purchase of Projector</t>
  </si>
  <si>
    <t>Provision for CCTV Installations</t>
  </si>
  <si>
    <t>02110000770102</t>
  </si>
  <si>
    <t>02110000770103</t>
  </si>
  <si>
    <t>02110000770110</t>
  </si>
  <si>
    <t>02110000770111</t>
  </si>
  <si>
    <t>02110000770112</t>
  </si>
  <si>
    <t>02110000770114</t>
  </si>
  <si>
    <t>02110000770116</t>
  </si>
  <si>
    <t>Purchase of Office Table, Conference Table, 6-Seater Workstation table, etc</t>
  </si>
  <si>
    <t>Purchase of Office Chairs, Executive Chair(s), 3-Seater Chairs, etc</t>
  </si>
  <si>
    <t>Purchase of Window Blind</t>
  </si>
  <si>
    <t>Refrigerators</t>
  </si>
  <si>
    <t>Purchase of Television Sets and DSTVs</t>
  </si>
  <si>
    <t>Purchase of File Cabinets, Customized File Cabinets</t>
  </si>
  <si>
    <t>Purchase of Air Conditionmers</t>
  </si>
  <si>
    <t>02130005210401</t>
  </si>
  <si>
    <t>02130005210402</t>
  </si>
  <si>
    <t>02130005210403</t>
  </si>
  <si>
    <t>02130005210404</t>
  </si>
  <si>
    <t>02130005210405</t>
  </si>
  <si>
    <t>02130005210406</t>
  </si>
  <si>
    <t>02130005210407</t>
  </si>
  <si>
    <t>Partitioning/Renovation of Offices to Accommodate the Procurement Officers</t>
  </si>
  <si>
    <t>03130001200106</t>
  </si>
  <si>
    <t>Additional/ DAWN Commission</t>
  </si>
  <si>
    <t>16-17</t>
  </si>
  <si>
    <t>ONDO STATE AGRI-BUSINESS EMPOWERMENT CENTRE (OSAEC)</t>
  </si>
  <si>
    <t>vi</t>
  </si>
  <si>
    <t>vii</t>
  </si>
  <si>
    <t>viii</t>
  </si>
  <si>
    <t>ix</t>
  </si>
  <si>
    <t>x</t>
  </si>
  <si>
    <t>v</t>
  </si>
  <si>
    <t>xi</t>
  </si>
  <si>
    <t>xii</t>
  </si>
  <si>
    <t>xiii</t>
  </si>
  <si>
    <t>xiv</t>
  </si>
  <si>
    <t>xv</t>
  </si>
  <si>
    <t>xvi</t>
  </si>
  <si>
    <t>22100402</t>
  </si>
  <si>
    <t>SPG- Compliance Monitoring / Revenue/ Operation Monitoring and Other Allied Matters</t>
  </si>
  <si>
    <t>22100403</t>
  </si>
  <si>
    <t>SPG- Preparation, Printing and Publication of Final Accounts</t>
  </si>
  <si>
    <t>22100404</t>
  </si>
  <si>
    <t>SPG- E-Pass Centre/Computer Materials</t>
  </si>
  <si>
    <t>22100405</t>
  </si>
  <si>
    <t>SPG- Security (Night and Day Guards) at TCO Offices</t>
  </si>
  <si>
    <t>22100406</t>
  </si>
  <si>
    <t>SPG- World Bank Project Financial Management Activities Unit (PFMU)</t>
  </si>
  <si>
    <t>22100407</t>
  </si>
  <si>
    <t>SPG- SIFMIS Operational Activities and Other Allied Matters</t>
  </si>
  <si>
    <t>22100408</t>
  </si>
  <si>
    <t>SPG- Purchase of Diesel/Maintenance of Electricity Generating Sets and Other Assets</t>
  </si>
  <si>
    <t>22100410</t>
  </si>
  <si>
    <t>SPG- Commission to Revenue Consultant</t>
  </si>
  <si>
    <t>3050001780105</t>
  </si>
  <si>
    <t>Implementation of Price Water House Coopers (PWC) Training Needs</t>
  </si>
  <si>
    <t>02090000040101</t>
  </si>
  <si>
    <t>Mechanical/Manual Channelization/Clearing of Water Hyacinth/Weed across the State and Purchase of Water Hyacinth Harvester</t>
  </si>
  <si>
    <t>02090000040147</t>
  </si>
  <si>
    <t>Fumigation of All Schools in Ondo State</t>
  </si>
  <si>
    <t>02090000030102</t>
  </si>
  <si>
    <t>Monitoring Visits to all Mining sites (MINRENCO activities)</t>
  </si>
  <si>
    <r>
      <t xml:space="preserve">ADMIN CODE: 022000700100: </t>
    </r>
    <r>
      <rPr>
        <sz val="9"/>
        <color theme="1"/>
        <rFont val="Times New Roman"/>
        <family val="1"/>
      </rPr>
      <t>OFFICE OF THE ACCOUNTANT GENERAL</t>
    </r>
  </si>
  <si>
    <r>
      <t xml:space="preserve">ACCOUNTING OFFICER: </t>
    </r>
    <r>
      <rPr>
        <sz val="9"/>
        <rFont val="Times New Roman"/>
        <family val="1"/>
      </rPr>
      <t>ACCOUNTANT GENERAL, OFFICE OF THE ACCOUNTANT GENERAL</t>
    </r>
  </si>
  <si>
    <t>Office of the State Auditor General</t>
  </si>
  <si>
    <t>22100346</t>
  </si>
  <si>
    <t>SPG- Civil Service Day Celebration and Award</t>
  </si>
  <si>
    <t>22100347</t>
  </si>
  <si>
    <t>SPG- Conduct of Civil Service Compulsory Examination</t>
  </si>
  <si>
    <t>22100348</t>
  </si>
  <si>
    <t>SPG- Senior Management Committee</t>
  </si>
  <si>
    <t>22100349</t>
  </si>
  <si>
    <t>SPG- Specialized Capacity Building Programme for Administrative Officers</t>
  </si>
  <si>
    <t>22100350</t>
  </si>
  <si>
    <t>SPG- Financial Assistance to families of Deceased Officers</t>
  </si>
  <si>
    <t>22100351</t>
  </si>
  <si>
    <t>SPG- HOS Interactive Sessions/Retreat with Public Servants</t>
  </si>
  <si>
    <t>22100352</t>
  </si>
  <si>
    <t>SPG- Conduct of Promotion Examinations for Senior Officers</t>
  </si>
  <si>
    <t>22100353</t>
  </si>
  <si>
    <t>SPG- Civil Service Reforms</t>
  </si>
  <si>
    <t>22100354</t>
  </si>
  <si>
    <t>SPG- Grant to staff Housing Loan Board</t>
  </si>
  <si>
    <t>22100355</t>
  </si>
  <si>
    <t>SPG- Hosting of/Participation in South West Head of Service Summit</t>
  </si>
  <si>
    <t>22100684</t>
  </si>
  <si>
    <t>SPG- Public Service Central Record Management: Warehousing Mgt Staff Data</t>
  </si>
  <si>
    <t>22100696</t>
  </si>
  <si>
    <t>SPG- Public Service Enlightenment Programme</t>
  </si>
  <si>
    <r>
      <rPr>
        <b/>
        <sz val="9"/>
        <color theme="1"/>
        <rFont val="Times New Roman"/>
        <family val="1"/>
      </rPr>
      <t>ADMIN CODE: 012500800100:</t>
    </r>
    <r>
      <rPr>
        <sz val="9"/>
        <color theme="1"/>
        <rFont val="Times New Roman"/>
        <family val="1"/>
      </rPr>
      <t xml:space="preserve"> SERVICE MATTERS DEPARTMENT   </t>
    </r>
  </si>
  <si>
    <r>
      <t xml:space="preserve">ACCOUNTING OFFICER: </t>
    </r>
    <r>
      <rPr>
        <sz val="9"/>
        <rFont val="Times New Roman"/>
        <family val="1"/>
      </rPr>
      <t>PERMANENT SECRETARY,  SERVICE MATTERS DEPARTMENT</t>
    </r>
  </si>
  <si>
    <t>Hospital Managemernt Board</t>
  </si>
  <si>
    <t>04040001640104</t>
  </si>
  <si>
    <t>FGN/WBank Support for Covid-19 Response</t>
  </si>
  <si>
    <t>156</t>
  </si>
  <si>
    <t>PUBLICITY &amp; ADVERTISEMENTS</t>
  </si>
  <si>
    <t>012500700400</t>
  </si>
  <si>
    <t>COMMITTEE ON PAYROLL VERIFICATION SCRUITINIZATION AND CLEANUP</t>
  </si>
  <si>
    <r>
      <rPr>
        <b/>
        <sz val="9"/>
        <rFont val="Times New Roman"/>
        <family val="1"/>
      </rPr>
      <t>ADMIN CODE: 012500700400:</t>
    </r>
    <r>
      <rPr>
        <sz val="9"/>
        <rFont val="Times New Roman"/>
        <family val="1"/>
      </rPr>
      <t xml:space="preserve"> COMMITTEE ON PAYROLL VERIFICATION SCRUITINIZATION AND CLEANUP   </t>
    </r>
  </si>
  <si>
    <r>
      <t xml:space="preserve">ACCOUNTING OFFICER: </t>
    </r>
    <r>
      <rPr>
        <sz val="9"/>
        <rFont val="Times New Roman"/>
        <family val="1"/>
      </rPr>
      <t xml:space="preserve">CHAIRMAN, COMMITTEE ON PAYROLL VERIFICATION SCRUITINIZATION AND CLEANUP </t>
    </r>
  </si>
  <si>
    <t>Committee on Payroll Verification Scruitinization and Cleanup</t>
  </si>
  <si>
    <t>01080002140101</t>
  </si>
  <si>
    <t>02120001140115</t>
  </si>
  <si>
    <t>Raising of 105,000 Oil Palm Seedlings at the 3 Senatorial Districts at 172/Seedling Investment in Cocoa Seedling.</t>
  </si>
  <si>
    <t>03130001200153</t>
  </si>
  <si>
    <r>
      <t xml:space="preserve">ADMIN CODE: 052111500100: </t>
    </r>
    <r>
      <rPr>
        <sz val="9"/>
        <color theme="1"/>
        <rFont val="Times New Roman"/>
        <family val="1"/>
      </rPr>
      <t>EMERGENCY RESPONSE SERVICE</t>
    </r>
  </si>
  <si>
    <r>
      <t xml:space="preserve">ACCOUNTING OFFICER: </t>
    </r>
    <r>
      <rPr>
        <sz val="9"/>
        <rFont val="Times New Roman"/>
        <family val="1"/>
      </rPr>
      <t>SECRETARY, EMERGENCY RESPONSE SERVICE</t>
    </r>
  </si>
  <si>
    <t>22100595</t>
  </si>
  <si>
    <t>Deduction</t>
  </si>
  <si>
    <r>
      <t xml:space="preserve">ADMIN CODE: 022900100100: </t>
    </r>
    <r>
      <rPr>
        <sz val="9"/>
        <color theme="1"/>
        <rFont val="Times New Roman"/>
        <family val="1"/>
      </rPr>
      <t>OFFICE OF TRANSPORT</t>
    </r>
  </si>
  <si>
    <r>
      <t xml:space="preserve">ACCOUNTING OFFICER: </t>
    </r>
    <r>
      <rPr>
        <sz val="9"/>
        <rFont val="Times New Roman"/>
        <family val="1"/>
      </rPr>
      <t>PERMANENT SECRETARY, OFFICE OF TRANSPORT</t>
    </r>
  </si>
  <si>
    <t>22100265</t>
  </si>
  <si>
    <t>SPG- Project Monitoring, Impact Assessment and other Ancillary Activities</t>
  </si>
  <si>
    <t>22100419</t>
  </si>
  <si>
    <t>SPG- Maintenance and fueling of Amphibious machine 400E/Supper Chopper/Skimming Boats</t>
  </si>
  <si>
    <t>22100420</t>
  </si>
  <si>
    <t>22100421</t>
  </si>
  <si>
    <t>SPG- Preparation of Tender Documents</t>
  </si>
  <si>
    <t>22100423</t>
  </si>
  <si>
    <t>SPG- Participation in National Council meetings and conferences-COREN,CIPMN,NIM,NCT,NSE &amp; Others</t>
  </si>
  <si>
    <t>22100424</t>
  </si>
  <si>
    <t>SPG- Sensitization/Enlightenment, Safety Campaign(NURTW, ACOMORAN, Maritime Workers etc)</t>
  </si>
  <si>
    <t>22100426</t>
  </si>
  <si>
    <t>SPG- In-house study/research on Regional Railway Development</t>
  </si>
  <si>
    <t>22100427</t>
  </si>
  <si>
    <t>Approved 2021      Re-order</t>
  </si>
  <si>
    <t>APPROVED RE-ORDER EXPENDITURE</t>
  </si>
  <si>
    <t>OVERALL SUMMARY OF APPROVED REVENUE RE-ORDERED 2021</t>
  </si>
  <si>
    <t>YEAR 2021 APPROVED RE-ORDERED REVENUE</t>
  </si>
  <si>
    <t>APPROVED 2021 RE-ORDER (N)</t>
  </si>
  <si>
    <t>OVERALL SUMMARY OF APPROVED RE-ORDERED BUDGET 2021</t>
  </si>
  <si>
    <t>YEAR 2021 APPROVED RE-ORDERED RECURRENT ESTIMATES</t>
  </si>
  <si>
    <t>YEAR 2021 APPROVED RE-ORDERED CAPITAL ESTIMATES</t>
  </si>
  <si>
    <t>YEAR 2021 APPROVED RE-ORDERED BUDGET</t>
  </si>
  <si>
    <t>APPROVED 2021 RE-ORDER</t>
  </si>
  <si>
    <t>APPROVED PERSONNEL RE-ORDERED ESTIMATES, 2021</t>
  </si>
  <si>
    <t>APPROVED 2021 RE-ORDERED</t>
  </si>
  <si>
    <t>05130002160108</t>
  </si>
  <si>
    <t>Special Intervention fund for Human Capital Development</t>
  </si>
  <si>
    <t>APPROVED 2021                 RE-ORDER</t>
  </si>
  <si>
    <t>APPROVED 2021 RE-ORDER M'N</t>
  </si>
  <si>
    <t>23-24</t>
  </si>
  <si>
    <t>32-33</t>
  </si>
  <si>
    <t>34-35</t>
  </si>
  <si>
    <t>Summary of Grants and Contributions</t>
  </si>
  <si>
    <t>39-40</t>
  </si>
  <si>
    <t>47-48</t>
  </si>
  <si>
    <t>48-49</t>
  </si>
  <si>
    <t>49-50</t>
  </si>
  <si>
    <t>01090000090115</t>
  </si>
  <si>
    <t>02060001170102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</si>
</sst>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0;[Red]0"/>
    <numFmt numFmtId="165" formatCode="0.000"/>
    <numFmt numFmtId="166" formatCode="#,##0.00;[Red]#,##0.00"/>
  </numFmts>
  <fonts count="6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Times New Roman"/>
      <family val="1"/>
    </font>
    <font>
      <sz val="8"/>
      <color theme="1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9"/>
      <color theme="1"/>
      <name val="Times New Roman"/>
      <family val="1"/>
    </font>
    <font>
      <b/>
      <sz val="8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b/>
      <strike/>
      <sz val="10"/>
      <color theme="1"/>
      <name val="Times New Roman"/>
      <family val="1"/>
    </font>
    <font>
      <sz val="7"/>
      <color theme="1"/>
      <name val="Times New Roman"/>
      <family val="1"/>
    </font>
    <font>
      <b/>
      <sz val="7"/>
      <color theme="1"/>
      <name val="Times New Roman"/>
      <family val="1"/>
    </font>
    <font>
      <b/>
      <sz val="6"/>
      <color theme="1"/>
      <name val="Times New Roman"/>
      <family val="1"/>
    </font>
    <font>
      <sz val="7"/>
      <color theme="1"/>
      <name val="Calibri"/>
      <family val="2"/>
      <scheme val="minor"/>
    </font>
    <font>
      <sz val="13"/>
      <name val="Times New Roman"/>
      <family val="1"/>
    </font>
    <font>
      <b/>
      <sz val="13"/>
      <name val="Times New Roman"/>
      <family val="1"/>
    </font>
    <font>
      <sz val="14"/>
      <color theme="1"/>
      <name val="Times New Roman"/>
      <family val="1"/>
    </font>
    <font>
      <sz val="8.5"/>
      <color theme="1"/>
      <name val="Times New Roman"/>
      <family val="1"/>
    </font>
    <font>
      <b/>
      <sz val="8.5"/>
      <color theme="1"/>
      <name val="Times New Roman"/>
      <family val="1"/>
    </font>
    <font>
      <b/>
      <sz val="5"/>
      <color theme="1"/>
      <name val="Times New Roman"/>
      <family val="1"/>
    </font>
    <font>
      <sz val="9"/>
      <color rgb="FF000000"/>
      <name val="Times New Roman"/>
      <family val="1"/>
    </font>
    <font>
      <b/>
      <sz val="5.5"/>
      <color theme="1"/>
      <name val="Times New Roman"/>
      <family val="1"/>
    </font>
    <font>
      <b/>
      <sz val="10"/>
      <color rgb="FF000000"/>
      <name val="Times New Roman"/>
      <family val="1"/>
    </font>
    <font>
      <b/>
      <strike/>
      <sz val="8"/>
      <color theme="1"/>
      <name val="Times New Roman"/>
      <family val="1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7.5"/>
      <color theme="1"/>
      <name val="Times New Roman"/>
      <family val="1"/>
    </font>
    <font>
      <sz val="7.5"/>
      <name val="Times New Roman"/>
      <family val="1"/>
    </font>
    <font>
      <sz val="8"/>
      <color rgb="FFFF0000"/>
      <name val="Times New Roman"/>
      <family val="1"/>
    </font>
    <font>
      <sz val="7"/>
      <name val="Times New Roman"/>
      <family val="1"/>
    </font>
    <font>
      <b/>
      <sz val="15"/>
      <color theme="1"/>
      <name val="Times New Roman"/>
      <family val="1"/>
    </font>
    <font>
      <sz val="15"/>
      <color rgb="FF000000"/>
      <name val="Times New Roman"/>
      <family val="1"/>
    </font>
    <font>
      <sz val="15"/>
      <color theme="1"/>
      <name val="Times New Roman"/>
      <family val="1"/>
    </font>
    <font>
      <b/>
      <sz val="15"/>
      <color rgb="FF000000"/>
      <name val="Times New Roman"/>
      <family val="1"/>
    </font>
    <font>
      <sz val="9.5"/>
      <color theme="1"/>
      <name val="Times New Roman"/>
      <family val="1"/>
    </font>
    <font>
      <sz val="10.5"/>
      <color theme="1"/>
      <name val="Times New Roman"/>
      <family val="1"/>
    </font>
    <font>
      <sz val="9.5"/>
      <name val="Times New Roman"/>
      <family val="1"/>
    </font>
    <font>
      <b/>
      <sz val="11"/>
      <name val="Times New Roman"/>
      <family val="1"/>
    </font>
    <font>
      <sz val="8"/>
      <color rgb="FF000000"/>
      <name val="Times New Roman"/>
      <family val="1"/>
    </font>
    <font>
      <sz val="10.5"/>
      <name val="Times New Roman"/>
      <family val="1"/>
    </font>
    <font>
      <sz val="1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686">
    <xf numFmtId="0" fontId="0" fillId="0" borderId="0" xfId="0"/>
    <xf numFmtId="0" fontId="2" fillId="0" borderId="0" xfId="0" applyFont="1"/>
    <xf numFmtId="43" fontId="2" fillId="0" borderId="0" xfId="1" applyFont="1"/>
    <xf numFmtId="43" fontId="0" fillId="0" borderId="0" xfId="0" applyNumberFormat="1"/>
    <xf numFmtId="43" fontId="0" fillId="0" borderId="0" xfId="1" applyFont="1"/>
    <xf numFmtId="0" fontId="0" fillId="0" borderId="0" xfId="0" applyBorder="1"/>
    <xf numFmtId="43" fontId="0" fillId="0" borderId="0" xfId="0" applyNumberFormat="1" applyBorder="1"/>
    <xf numFmtId="164" fontId="6" fillId="0" borderId="0" xfId="0" applyNumberFormat="1" applyFont="1" applyBorder="1"/>
    <xf numFmtId="4" fontId="6" fillId="0" borderId="0" xfId="0" applyNumberFormat="1" applyFont="1" applyBorder="1"/>
    <xf numFmtId="164" fontId="0" fillId="0" borderId="0" xfId="0" applyNumberFormat="1"/>
    <xf numFmtId="4" fontId="0" fillId="0" borderId="0" xfId="0" applyNumberFormat="1"/>
    <xf numFmtId="164" fontId="0" fillId="0" borderId="0" xfId="0" applyNumberFormat="1" applyBorder="1" applyAlignment="1">
      <alignment vertical="center"/>
    </xf>
    <xf numFmtId="4" fontId="6" fillId="0" borderId="0" xfId="0" applyNumberFormat="1" applyFont="1" applyBorder="1" applyAlignment="1">
      <alignment vertical="center"/>
    </xf>
    <xf numFmtId="164" fontId="0" fillId="0" borderId="0" xfId="0" applyNumberFormat="1" applyBorder="1"/>
    <xf numFmtId="4" fontId="0" fillId="0" borderId="0" xfId="0" applyNumberFormat="1" applyBorder="1"/>
    <xf numFmtId="43" fontId="6" fillId="0" borderId="0" xfId="1" applyFont="1" applyBorder="1" applyAlignment="1">
      <alignment horizontal="left"/>
    </xf>
    <xf numFmtId="164" fontId="6" fillId="0" borderId="0" xfId="0" applyNumberFormat="1" applyFont="1" applyBorder="1" applyAlignment="1">
      <alignment vertical="center"/>
    </xf>
    <xf numFmtId="4" fontId="6" fillId="0" borderId="0" xfId="0" applyNumberFormat="1" applyFont="1" applyBorder="1" applyAlignment="1">
      <alignment horizontal="center" vertical="center"/>
    </xf>
    <xf numFmtId="4" fontId="7" fillId="0" borderId="0" xfId="0" applyNumberFormat="1" applyFont="1" applyBorder="1" applyAlignment="1">
      <alignment vertical="center"/>
    </xf>
    <xf numFmtId="43" fontId="7" fillId="0" borderId="0" xfId="1" applyFont="1" applyBorder="1"/>
    <xf numFmtId="4" fontId="0" fillId="0" borderId="0" xfId="0" applyNumberFormat="1" applyBorder="1" applyAlignment="1">
      <alignment vertical="center"/>
    </xf>
    <xf numFmtId="43" fontId="0" fillId="0" borderId="0" xfId="1" applyFont="1" applyBorder="1" applyAlignment="1">
      <alignment vertical="center"/>
    </xf>
    <xf numFmtId="3" fontId="0" fillId="0" borderId="0" xfId="0" applyNumberFormat="1" applyBorder="1" applyAlignment="1">
      <alignment horizontal="right"/>
    </xf>
    <xf numFmtId="4" fontId="0" fillId="0" borderId="0" xfId="0" applyNumberFormat="1" applyAlignment="1">
      <alignment horizontal="right"/>
    </xf>
    <xf numFmtId="165" fontId="0" fillId="0" borderId="0" xfId="0" applyNumberFormat="1"/>
    <xf numFmtId="0" fontId="0" fillId="0" borderId="0" xfId="0" applyFont="1"/>
    <xf numFmtId="0" fontId="3" fillId="0" borderId="0" xfId="0" applyFont="1"/>
    <xf numFmtId="0" fontId="5" fillId="0" borderId="0" xfId="0" applyFo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5" fillId="0" borderId="0" xfId="0" applyFont="1" applyBorder="1"/>
    <xf numFmtId="0" fontId="10" fillId="2" borderId="1" xfId="0" applyFont="1" applyFill="1" applyBorder="1" applyAlignment="1">
      <alignment horizontal="center" vertical="center" wrapText="1"/>
    </xf>
    <xf numFmtId="43" fontId="12" fillId="0" borderId="1" xfId="1" applyFont="1" applyBorder="1"/>
    <xf numFmtId="0" fontId="0" fillId="0" borderId="6" xfId="0" applyBorder="1" applyAlignment="1">
      <alignment horizontal="center"/>
    </xf>
    <xf numFmtId="43" fontId="9" fillId="0" borderId="0" xfId="1" applyFont="1" applyBorder="1"/>
    <xf numFmtId="0" fontId="0" fillId="0" borderId="0" xfId="0" applyAlignment="1">
      <alignment wrapText="1"/>
    </xf>
    <xf numFmtId="49" fontId="5" fillId="0" borderId="0" xfId="0" applyNumberFormat="1" applyFont="1" applyBorder="1"/>
    <xf numFmtId="0" fontId="4" fillId="0" borderId="0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18" fillId="0" borderId="0" xfId="0" applyFont="1" applyBorder="1"/>
    <xf numFmtId="0" fontId="17" fillId="0" borderId="1" xfId="0" applyFont="1" applyBorder="1"/>
    <xf numFmtId="0" fontId="17" fillId="0" borderId="1" xfId="0" applyFont="1" applyBorder="1" applyAlignment="1">
      <alignment horizontal="right" wrapText="1"/>
    </xf>
    <xf numFmtId="43" fontId="10" fillId="0" borderId="1" xfId="1" applyFont="1" applyBorder="1"/>
    <xf numFmtId="43" fontId="11" fillId="3" borderId="1" xfId="1" applyFont="1" applyFill="1" applyBorder="1" applyAlignment="1">
      <alignment horizontal="center" wrapText="1"/>
    </xf>
    <xf numFmtId="43" fontId="5" fillId="0" borderId="0" xfId="0" applyNumberFormat="1" applyFont="1" applyBorder="1"/>
    <xf numFmtId="0" fontId="17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  <xf numFmtId="0" fontId="11" fillId="0" borderId="1" xfId="0" applyFont="1" applyBorder="1"/>
    <xf numFmtId="43" fontId="11" fillId="0" borderId="1" xfId="1" applyFont="1" applyBorder="1"/>
    <xf numFmtId="0" fontId="17" fillId="0" borderId="0" xfId="0" applyFont="1" applyBorder="1" applyAlignment="1">
      <alignment horizontal="center"/>
    </xf>
    <xf numFmtId="0" fontId="10" fillId="0" borderId="0" xfId="0" applyFont="1"/>
    <xf numFmtId="0" fontId="17" fillId="0" borderId="0" xfId="0" applyFont="1" applyBorder="1" applyAlignment="1"/>
    <xf numFmtId="0" fontId="22" fillId="0" borderId="0" xfId="2" applyFont="1"/>
    <xf numFmtId="0" fontId="17" fillId="0" borderId="5" xfId="0" applyFont="1" applyBorder="1" applyAlignment="1">
      <alignment horizontal="center" wrapText="1"/>
    </xf>
    <xf numFmtId="0" fontId="17" fillId="0" borderId="1" xfId="0" applyFont="1" applyBorder="1" applyAlignment="1">
      <alignment horizontal="center" wrapText="1"/>
    </xf>
    <xf numFmtId="0" fontId="17" fillId="0" borderId="1" xfId="0" applyFont="1" applyBorder="1" applyAlignment="1">
      <alignment horizontal="right"/>
    </xf>
    <xf numFmtId="0" fontId="20" fillId="0" borderId="0" xfId="0" applyFont="1"/>
    <xf numFmtId="0" fontId="20" fillId="0" borderId="1" xfId="0" applyFont="1" applyBorder="1"/>
    <xf numFmtId="0" fontId="2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7" fillId="0" borderId="0" xfId="0" applyFont="1"/>
    <xf numFmtId="4" fontId="17" fillId="0" borderId="1" xfId="0" applyNumberFormat="1" applyFont="1" applyBorder="1"/>
    <xf numFmtId="0" fontId="15" fillId="4" borderId="1" xfId="0" applyFont="1" applyFill="1" applyBorder="1" applyAlignment="1">
      <alignment horizontal="center" wrapText="1"/>
    </xf>
    <xf numFmtId="0" fontId="15" fillId="4" borderId="1" xfId="0" applyFont="1" applyFill="1" applyBorder="1" applyAlignment="1">
      <alignment horizontal="center"/>
    </xf>
    <xf numFmtId="0" fontId="11" fillId="0" borderId="1" xfId="0" applyFont="1" applyBorder="1" applyAlignment="1">
      <alignment wrapText="1"/>
    </xf>
    <xf numFmtId="0" fontId="11" fillId="0" borderId="5" xfId="0" applyFont="1" applyBorder="1" applyAlignment="1">
      <alignment wrapText="1"/>
    </xf>
    <xf numFmtId="0" fontId="18" fillId="0" borderId="4" xfId="0" applyFont="1" applyBorder="1" applyAlignment="1">
      <alignment wrapText="1"/>
    </xf>
    <xf numFmtId="0" fontId="18" fillId="0" borderId="1" xfId="0" applyFont="1" applyBorder="1" applyAlignment="1">
      <alignment wrapText="1"/>
    </xf>
    <xf numFmtId="0" fontId="27" fillId="0" borderId="0" xfId="0" applyFont="1"/>
    <xf numFmtId="0" fontId="15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wrapText="1"/>
    </xf>
    <xf numFmtId="0" fontId="19" fillId="0" borderId="1" xfId="0" applyFont="1" applyBorder="1" applyAlignment="1">
      <alignment horizontal="center"/>
    </xf>
    <xf numFmtId="0" fontId="25" fillId="0" borderId="1" xfId="0" applyFont="1" applyBorder="1" applyAlignment="1">
      <alignment horizontal="center"/>
    </xf>
    <xf numFmtId="164" fontId="14" fillId="0" borderId="0" xfId="0" applyNumberFormat="1" applyFont="1" applyBorder="1"/>
    <xf numFmtId="4" fontId="14" fillId="0" borderId="0" xfId="0" applyNumberFormat="1" applyFont="1" applyBorder="1"/>
    <xf numFmtId="164" fontId="14" fillId="0" borderId="7" xfId="0" applyNumberFormat="1" applyFont="1" applyBorder="1" applyAlignment="1">
      <alignment vertical="center"/>
    </xf>
    <xf numFmtId="164" fontId="20" fillId="0" borderId="6" xfId="0" applyNumberFormat="1" applyFont="1" applyBorder="1" applyAlignment="1">
      <alignment vertical="center"/>
    </xf>
    <xf numFmtId="4" fontId="21" fillId="0" borderId="6" xfId="0" applyNumberFormat="1" applyFont="1" applyBorder="1" applyAlignment="1">
      <alignment vertical="center"/>
    </xf>
    <xf numFmtId="164" fontId="20" fillId="0" borderId="1" xfId="0" applyNumberFormat="1" applyFont="1" applyBorder="1" applyAlignment="1">
      <alignment vertical="center"/>
    </xf>
    <xf numFmtId="4" fontId="21" fillId="0" borderId="1" xfId="0" applyNumberFormat="1" applyFont="1" applyBorder="1" applyAlignment="1">
      <alignment vertical="center"/>
    </xf>
    <xf numFmtId="43" fontId="20" fillId="0" borderId="1" xfId="1" applyFont="1" applyBorder="1" applyAlignment="1">
      <alignment vertical="center"/>
    </xf>
    <xf numFmtId="0" fontId="25" fillId="0" borderId="5" xfId="0" applyFont="1" applyBorder="1" applyAlignment="1">
      <alignment horizontal="center"/>
    </xf>
    <xf numFmtId="0" fontId="5" fillId="0" borderId="1" xfId="0" applyFont="1" applyBorder="1"/>
    <xf numFmtId="0" fontId="5" fillId="0" borderId="8" xfId="0" applyFont="1" applyBorder="1"/>
    <xf numFmtId="0" fontId="19" fillId="0" borderId="1" xfId="0" applyFont="1" applyBorder="1"/>
    <xf numFmtId="0" fontId="18" fillId="0" borderId="1" xfId="0" applyFont="1" applyBorder="1"/>
    <xf numFmtId="0" fontId="15" fillId="0" borderId="13" xfId="0" applyFont="1" applyBorder="1" applyAlignment="1">
      <alignment horizontal="right"/>
    </xf>
    <xf numFmtId="43" fontId="10" fillId="0" borderId="1" xfId="0" applyNumberFormat="1" applyFont="1" applyBorder="1"/>
    <xf numFmtId="0" fontId="19" fillId="0" borderId="4" xfId="0" applyFont="1" applyBorder="1"/>
    <xf numFmtId="0" fontId="19" fillId="0" borderId="10" xfId="0" applyFont="1" applyBorder="1"/>
    <xf numFmtId="0" fontId="18" fillId="0" borderId="5" xfId="0" applyFont="1" applyBorder="1" applyAlignment="1">
      <alignment wrapText="1"/>
    </xf>
    <xf numFmtId="0" fontId="20" fillId="0" borderId="4" xfId="0" applyFont="1" applyBorder="1" applyAlignment="1">
      <alignment wrapText="1"/>
    </xf>
    <xf numFmtId="0" fontId="29" fillId="0" borderId="4" xfId="0" applyFont="1" applyBorder="1"/>
    <xf numFmtId="1" fontId="10" fillId="0" borderId="4" xfId="0" applyNumberFormat="1" applyFont="1" applyBorder="1" applyAlignment="1">
      <alignment horizontal="right"/>
    </xf>
    <xf numFmtId="0" fontId="18" fillId="0" borderId="6" xfId="0" applyFont="1" applyBorder="1" applyAlignment="1">
      <alignment wrapText="1"/>
    </xf>
    <xf numFmtId="0" fontId="15" fillId="3" borderId="2" xfId="0" applyFont="1" applyFill="1" applyBorder="1" applyAlignment="1">
      <alignment horizontal="center" wrapText="1"/>
    </xf>
    <xf numFmtId="0" fontId="25" fillId="0" borderId="1" xfId="0" applyFont="1" applyBorder="1" applyAlignment="1">
      <alignment horizontal="center" wrapText="1"/>
    </xf>
    <xf numFmtId="43" fontId="11" fillId="2" borderId="1" xfId="1" applyFont="1" applyFill="1" applyBorder="1" applyAlignment="1">
      <alignment horizontal="right" wrapText="1"/>
    </xf>
    <xf numFmtId="0" fontId="18" fillId="4" borderId="1" xfId="0" applyFont="1" applyFill="1" applyBorder="1" applyAlignment="1">
      <alignment horizontal="center" wrapText="1"/>
    </xf>
    <xf numFmtId="0" fontId="19" fillId="0" borderId="5" xfId="0" applyFont="1" applyBorder="1" applyAlignment="1">
      <alignment horizontal="center"/>
    </xf>
    <xf numFmtId="0" fontId="20" fillId="0" borderId="12" xfId="0" applyFont="1" applyBorder="1" applyAlignment="1">
      <alignment horizontal="center"/>
    </xf>
    <xf numFmtId="43" fontId="10" fillId="0" borderId="5" xfId="0" applyNumberFormat="1" applyFont="1" applyBorder="1" applyAlignment="1">
      <alignment horizontal="center"/>
    </xf>
    <xf numFmtId="0" fontId="20" fillId="0" borderId="15" xfId="0" applyFont="1" applyBorder="1"/>
    <xf numFmtId="0" fontId="20" fillId="0" borderId="13" xfId="0" applyFont="1" applyBorder="1"/>
    <xf numFmtId="0" fontId="19" fillId="0" borderId="13" xfId="0" applyFont="1" applyBorder="1"/>
    <xf numFmtId="43" fontId="17" fillId="0" borderId="13" xfId="0" applyNumberFormat="1" applyFont="1" applyBorder="1"/>
    <xf numFmtId="49" fontId="25" fillId="0" borderId="1" xfId="0" applyNumberFormat="1" applyFont="1" applyBorder="1" applyAlignment="1">
      <alignment horizontal="center" wrapText="1"/>
    </xf>
    <xf numFmtId="49" fontId="25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25" fillId="0" borderId="4" xfId="0" applyFont="1" applyBorder="1" applyAlignment="1">
      <alignment horizontal="center"/>
    </xf>
    <xf numFmtId="0" fontId="0" fillId="0" borderId="8" xfId="0" applyBorder="1" applyAlignment="1">
      <alignment horizontal="center"/>
    </xf>
    <xf numFmtId="43" fontId="32" fillId="0" borderId="0" xfId="0" applyNumberFormat="1" applyFont="1"/>
    <xf numFmtId="43" fontId="17" fillId="0" borderId="8" xfId="0" applyNumberFormat="1" applyFont="1" applyBorder="1"/>
    <xf numFmtId="0" fontId="16" fillId="0" borderId="1" xfId="0" applyFont="1" applyBorder="1"/>
    <xf numFmtId="43" fontId="33" fillId="0" borderId="1" xfId="1" applyFont="1" applyBorder="1" applyAlignment="1">
      <alignment horizontal="center"/>
    </xf>
    <xf numFmtId="43" fontId="34" fillId="0" borderId="1" xfId="1" applyNumberFormat="1" applyFont="1" applyBorder="1" applyAlignment="1">
      <alignment horizontal="center"/>
    </xf>
    <xf numFmtId="0" fontId="35" fillId="0" borderId="0" xfId="0" applyFont="1"/>
    <xf numFmtId="49" fontId="19" fillId="0" borderId="12" xfId="0" applyNumberFormat="1" applyFont="1" applyBorder="1" applyAlignment="1">
      <alignment horizontal="center"/>
    </xf>
    <xf numFmtId="0" fontId="15" fillId="0" borderId="4" xfId="0" applyFont="1" applyBorder="1" applyAlignment="1">
      <alignment horizontal="right"/>
    </xf>
    <xf numFmtId="49" fontId="18" fillId="0" borderId="1" xfId="0" applyNumberFormat="1" applyFont="1" applyBorder="1"/>
    <xf numFmtId="49" fontId="11" fillId="0" borderId="1" xfId="0" applyNumberFormat="1" applyFont="1" applyBorder="1"/>
    <xf numFmtId="49" fontId="11" fillId="2" borderId="1" xfId="0" applyNumberFormat="1" applyFont="1" applyFill="1" applyBorder="1" applyAlignment="1">
      <alignment horizontal="center" wrapText="1"/>
    </xf>
    <xf numFmtId="0" fontId="18" fillId="4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43" fontId="11" fillId="0" borderId="1" xfId="0" applyNumberFormat="1" applyFont="1" applyBorder="1" applyAlignment="1">
      <alignment horizontal="left"/>
    </xf>
    <xf numFmtId="43" fontId="11" fillId="0" borderId="1" xfId="0" applyNumberFormat="1" applyFont="1" applyBorder="1" applyAlignment="1">
      <alignment horizontal="center"/>
    </xf>
    <xf numFmtId="43" fontId="18" fillId="0" borderId="1" xfId="0" applyNumberFormat="1" applyFont="1" applyBorder="1" applyAlignment="1">
      <alignment horizontal="left"/>
    </xf>
    <xf numFmtId="43" fontId="12" fillId="0" borderId="1" xfId="0" applyNumberFormat="1" applyFont="1" applyBorder="1" applyAlignment="1">
      <alignment horizontal="center"/>
    </xf>
    <xf numFmtId="43" fontId="11" fillId="0" borderId="1" xfId="1" applyFont="1" applyBorder="1" applyAlignment="1">
      <alignment horizontal="center" wrapText="1"/>
    </xf>
    <xf numFmtId="0" fontId="18" fillId="0" borderId="4" xfId="0" applyFont="1" applyBorder="1" applyAlignment="1">
      <alignment vertical="center" wrapText="1"/>
    </xf>
    <xf numFmtId="0" fontId="26" fillId="0" borderId="1" xfId="0" applyFont="1" applyBorder="1" applyAlignment="1">
      <alignment horizontal="center"/>
    </xf>
    <xf numFmtId="43" fontId="18" fillId="0" borderId="4" xfId="0" applyNumberFormat="1" applyFont="1" applyBorder="1" applyAlignment="1">
      <alignment horizontal="center"/>
    </xf>
    <xf numFmtId="43" fontId="17" fillId="0" borderId="17" xfId="0" applyNumberFormat="1" applyFont="1" applyBorder="1"/>
    <xf numFmtId="43" fontId="8" fillId="0" borderId="0" xfId="1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35" fillId="0" borderId="0" xfId="0" applyFont="1" applyAlignment="1">
      <alignment horizontal="left"/>
    </xf>
    <xf numFmtId="0" fontId="18" fillId="0" borderId="4" xfId="0" applyFont="1" applyBorder="1" applyAlignment="1">
      <alignment horizontal="right"/>
    </xf>
    <xf numFmtId="0" fontId="36" fillId="2" borderId="1" xfId="0" applyFont="1" applyFill="1" applyBorder="1" applyAlignment="1">
      <alignment horizontal="right" wrapText="1"/>
    </xf>
    <xf numFmtId="0" fontId="36" fillId="2" borderId="1" xfId="0" applyFont="1" applyFill="1" applyBorder="1" applyAlignment="1">
      <alignment wrapText="1"/>
    </xf>
    <xf numFmtId="43" fontId="11" fillId="2" borderId="3" xfId="1" applyFont="1" applyFill="1" applyBorder="1" applyAlignment="1">
      <alignment horizontal="right" wrapText="1"/>
    </xf>
    <xf numFmtId="43" fontId="17" fillId="0" borderId="1" xfId="1" applyFont="1" applyBorder="1"/>
    <xf numFmtId="0" fontId="16" fillId="0" borderId="6" xfId="0" applyFont="1" applyBorder="1"/>
    <xf numFmtId="43" fontId="31" fillId="0" borderId="1" xfId="1" applyFont="1" applyBorder="1"/>
    <xf numFmtId="43" fontId="38" fillId="0" borderId="1" xfId="1" applyFont="1" applyBorder="1"/>
    <xf numFmtId="0" fontId="11" fillId="0" borderId="6" xfId="0" applyFont="1" applyBorder="1" applyAlignment="1">
      <alignment horizontal="center"/>
    </xf>
    <xf numFmtId="49" fontId="11" fillId="0" borderId="6" xfId="0" applyNumberFormat="1" applyFont="1" applyBorder="1"/>
    <xf numFmtId="49" fontId="11" fillId="2" borderId="5" xfId="0" applyNumberFormat="1" applyFont="1" applyFill="1" applyBorder="1" applyAlignment="1">
      <alignment horizontal="center" wrapText="1"/>
    </xf>
    <xf numFmtId="49" fontId="11" fillId="0" borderId="4" xfId="0" applyNumberFormat="1" applyFont="1" applyBorder="1"/>
    <xf numFmtId="43" fontId="11" fillId="0" borderId="5" xfId="0" applyNumberFormat="1" applyFont="1" applyBorder="1" applyAlignment="1">
      <alignment horizontal="left"/>
    </xf>
    <xf numFmtId="43" fontId="11" fillId="0" borderId="5" xfId="0" applyNumberFormat="1" applyFont="1" applyBorder="1" applyAlignment="1">
      <alignment horizontal="center"/>
    </xf>
    <xf numFmtId="43" fontId="18" fillId="0" borderId="6" xfId="0" applyNumberFormat="1" applyFont="1" applyBorder="1" applyAlignment="1">
      <alignment horizontal="left"/>
    </xf>
    <xf numFmtId="0" fontId="11" fillId="0" borderId="10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43" fontId="18" fillId="0" borderId="4" xfId="0" applyNumberFormat="1" applyFont="1" applyBorder="1" applyAlignment="1">
      <alignment horizontal="left"/>
    </xf>
    <xf numFmtId="43" fontId="18" fillId="0" borderId="8" xfId="0" applyNumberFormat="1" applyFont="1" applyBorder="1" applyAlignment="1">
      <alignment horizontal="left"/>
    </xf>
    <xf numFmtId="43" fontId="11" fillId="0" borderId="5" xfId="0" applyNumberFormat="1" applyFont="1" applyBorder="1" applyAlignment="1">
      <alignment horizontal="right"/>
    </xf>
    <xf numFmtId="43" fontId="18" fillId="0" borderId="5" xfId="0" applyNumberFormat="1" applyFont="1" applyBorder="1" applyAlignment="1">
      <alignment horizontal="left"/>
    </xf>
    <xf numFmtId="0" fontId="37" fillId="0" borderId="4" xfId="0" applyFont="1" applyBorder="1" applyAlignment="1">
      <alignment wrapText="1"/>
    </xf>
    <xf numFmtId="43" fontId="12" fillId="0" borderId="5" xfId="0" applyNumberFormat="1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4" xfId="0" applyBorder="1" applyAlignment="1">
      <alignment horizontal="center"/>
    </xf>
    <xf numFmtId="43" fontId="38" fillId="0" borderId="4" xfId="0" applyNumberFormat="1" applyFont="1" applyBorder="1" applyAlignment="1">
      <alignment horizontal="center"/>
    </xf>
    <xf numFmtId="43" fontId="30" fillId="0" borderId="4" xfId="0" applyNumberFormat="1" applyFont="1" applyBorder="1" applyAlignment="1">
      <alignment horizontal="center"/>
    </xf>
    <xf numFmtId="0" fontId="11" fillId="0" borderId="15" xfId="0" applyFont="1" applyBorder="1"/>
    <xf numFmtId="0" fontId="11" fillId="0" borderId="13" xfId="0" applyFont="1" applyBorder="1"/>
    <xf numFmtId="0" fontId="18" fillId="0" borderId="13" xfId="0" applyFont="1" applyBorder="1" applyAlignment="1">
      <alignment horizontal="right" wrapText="1"/>
    </xf>
    <xf numFmtId="0" fontId="37" fillId="0" borderId="1" xfId="0" applyFont="1" applyBorder="1"/>
    <xf numFmtId="0" fontId="17" fillId="0" borderId="0" xfId="0" applyFont="1" applyBorder="1" applyAlignment="1">
      <alignment horizontal="center"/>
    </xf>
    <xf numFmtId="0" fontId="19" fillId="0" borderId="0" xfId="0" applyFont="1"/>
    <xf numFmtId="0" fontId="25" fillId="0" borderId="0" xfId="0" applyFont="1" applyAlignment="1">
      <alignment horizontal="center"/>
    </xf>
    <xf numFmtId="0" fontId="36" fillId="0" borderId="1" xfId="0" applyFont="1" applyBorder="1"/>
    <xf numFmtId="43" fontId="10" fillId="0" borderId="1" xfId="1" applyFont="1" applyBorder="1" applyAlignment="1">
      <alignment horizontal="center"/>
    </xf>
    <xf numFmtId="43" fontId="11" fillId="0" borderId="1" xfId="1" applyFont="1" applyBorder="1" applyAlignment="1">
      <alignment horizontal="center"/>
    </xf>
    <xf numFmtId="43" fontId="11" fillId="0" borderId="5" xfId="1" applyFont="1" applyBorder="1" applyAlignment="1">
      <alignment horizontal="center"/>
    </xf>
    <xf numFmtId="0" fontId="15" fillId="0" borderId="0" xfId="0" applyFont="1"/>
    <xf numFmtId="43" fontId="10" fillId="0" borderId="1" xfId="1" applyFont="1" applyBorder="1" applyAlignment="1">
      <alignment horizontal="center" wrapText="1"/>
    </xf>
    <xf numFmtId="49" fontId="15" fillId="5" borderId="1" xfId="0" applyNumberFormat="1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49" fontId="0" fillId="0" borderId="0" xfId="0" applyNumberFormat="1"/>
    <xf numFmtId="49" fontId="20" fillId="0" borderId="0" xfId="0" applyNumberFormat="1" applyFont="1" applyAlignment="1"/>
    <xf numFmtId="0" fontId="20" fillId="0" borderId="0" xfId="0" applyFont="1" applyAlignment="1">
      <alignment horizontal="right"/>
    </xf>
    <xf numFmtId="0" fontId="18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left"/>
    </xf>
    <xf numFmtId="0" fontId="18" fillId="0" borderId="1" xfId="0" applyFont="1" applyBorder="1" applyAlignment="1">
      <alignment horizontal="right"/>
    </xf>
    <xf numFmtId="43" fontId="18" fillId="0" borderId="1" xfId="0" applyNumberFormat="1" applyFont="1" applyBorder="1" applyAlignment="1">
      <alignment vertical="top"/>
    </xf>
    <xf numFmtId="43" fontId="11" fillId="0" borderId="1" xfId="0" applyNumberFormat="1" applyFont="1" applyBorder="1" applyAlignment="1">
      <alignment vertical="top"/>
    </xf>
    <xf numFmtId="43" fontId="18" fillId="0" borderId="1" xfId="0" applyNumberFormat="1" applyFont="1" applyBorder="1" applyAlignment="1"/>
    <xf numFmtId="43" fontId="18" fillId="0" borderId="13" xfId="0" applyNumberFormat="1" applyFont="1" applyBorder="1"/>
    <xf numFmtId="4" fontId="19" fillId="0" borderId="1" xfId="0" applyNumberFormat="1" applyFont="1" applyBorder="1"/>
    <xf numFmtId="4" fontId="15" fillId="0" borderId="1" xfId="0" applyNumberFormat="1" applyFont="1" applyBorder="1"/>
    <xf numFmtId="164" fontId="20" fillId="0" borderId="14" xfId="0" applyNumberFormat="1" applyFont="1" applyBorder="1" applyAlignment="1">
      <alignment vertical="center"/>
    </xf>
    <xf numFmtId="164" fontId="20" fillId="0" borderId="2" xfId="0" applyNumberFormat="1" applyFont="1" applyBorder="1" applyAlignment="1">
      <alignment vertical="center"/>
    </xf>
    <xf numFmtId="43" fontId="25" fillId="0" borderId="1" xfId="1" applyFont="1" applyBorder="1" applyAlignment="1">
      <alignment vertical="center"/>
    </xf>
    <xf numFmtId="0" fontId="25" fillId="0" borderId="19" xfId="0" applyFont="1" applyBorder="1" applyAlignment="1">
      <alignment horizontal="center"/>
    </xf>
    <xf numFmtId="43" fontId="26" fillId="0" borderId="1" xfId="0" applyNumberFormat="1" applyFont="1" applyBorder="1" applyAlignment="1">
      <alignment horizontal="center" wrapText="1"/>
    </xf>
    <xf numFmtId="0" fontId="16" fillId="0" borderId="0" xfId="0" applyFont="1"/>
    <xf numFmtId="0" fontId="11" fillId="0" borderId="5" xfId="0" applyFont="1" applyBorder="1" applyAlignment="1">
      <alignment horizontal="left" wrapText="1"/>
    </xf>
    <xf numFmtId="43" fontId="43" fillId="0" borderId="0" xfId="0" applyNumberFormat="1" applyFont="1"/>
    <xf numFmtId="164" fontId="14" fillId="0" borderId="0" xfId="0" applyNumberFormat="1" applyFont="1" applyBorder="1" applyAlignment="1">
      <alignment vertical="center"/>
    </xf>
    <xf numFmtId="0" fontId="21" fillId="0" borderId="0" xfId="0" applyNumberFormat="1" applyFont="1" applyBorder="1" applyAlignment="1">
      <alignment vertical="center"/>
    </xf>
    <xf numFmtId="43" fontId="14" fillId="0" borderId="0" xfId="1" applyFont="1" applyBorder="1" applyAlignment="1">
      <alignment vertical="center"/>
    </xf>
    <xf numFmtId="0" fontId="17" fillId="0" borderId="0" xfId="0" applyFont="1" applyBorder="1" applyAlignment="1">
      <alignment horizontal="center"/>
    </xf>
    <xf numFmtId="0" fontId="37" fillId="0" borderId="1" xfId="0" applyFont="1" applyBorder="1" applyAlignment="1">
      <alignment wrapText="1"/>
    </xf>
    <xf numFmtId="49" fontId="11" fillId="0" borderId="4" xfId="0" applyNumberFormat="1" applyFont="1" applyBorder="1" applyAlignment="1">
      <alignment horizontal="right"/>
    </xf>
    <xf numFmtId="49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4" fontId="10" fillId="2" borderId="1" xfId="0" applyNumberFormat="1" applyFont="1" applyFill="1" applyBorder="1" applyAlignment="1">
      <alignment horizontal="right" vertical="center" wrapText="1"/>
    </xf>
    <xf numFmtId="43" fontId="10" fillId="2" borderId="1" xfId="1" applyFont="1" applyFill="1" applyBorder="1" applyAlignment="1">
      <alignment horizontal="right" wrapText="1"/>
    </xf>
    <xf numFmtId="43" fontId="18" fillId="0" borderId="1" xfId="0" applyNumberFormat="1" applyFont="1" applyBorder="1" applyAlignment="1">
      <alignment horizontal="center"/>
    </xf>
    <xf numFmtId="43" fontId="0" fillId="0" borderId="1" xfId="1" applyFont="1" applyBorder="1" applyAlignment="1">
      <alignment horizontal="center"/>
    </xf>
    <xf numFmtId="49" fontId="44" fillId="0" borderId="1" xfId="0" applyNumberFormat="1" applyFont="1" applyBorder="1" applyAlignment="1">
      <alignment horizontal="center"/>
    </xf>
    <xf numFmtId="43" fontId="18" fillId="0" borderId="5" xfId="0" applyNumberFormat="1" applyFont="1" applyBorder="1" applyAlignment="1">
      <alignment horizontal="center"/>
    </xf>
    <xf numFmtId="49" fontId="20" fillId="0" borderId="10" xfId="0" applyNumberFormat="1" applyFont="1" applyBorder="1" applyAlignment="1">
      <alignment horizontal="right"/>
    </xf>
    <xf numFmtId="49" fontId="20" fillId="0" borderId="4" xfId="0" applyNumberFormat="1" applyFont="1" applyBorder="1"/>
    <xf numFmtId="43" fontId="18" fillId="0" borderId="4" xfId="0" applyNumberFormat="1" applyFont="1" applyBorder="1"/>
    <xf numFmtId="0" fontId="0" fillId="0" borderId="8" xfId="0" applyBorder="1"/>
    <xf numFmtId="43" fontId="18" fillId="0" borderId="6" xfId="0" applyNumberFormat="1" applyFont="1" applyBorder="1" applyAlignment="1">
      <alignment horizontal="center"/>
    </xf>
    <xf numFmtId="43" fontId="10" fillId="2" borderId="1" xfId="1" applyFont="1" applyFill="1" applyBorder="1" applyAlignment="1">
      <alignment horizontal="right" vertical="center" wrapText="1"/>
    </xf>
    <xf numFmtId="43" fontId="29" fillId="2" borderId="3" xfId="1" applyFont="1" applyFill="1" applyBorder="1" applyAlignment="1">
      <alignment horizontal="right" wrapText="1"/>
    </xf>
    <xf numFmtId="49" fontId="36" fillId="2" borderId="1" xfId="0" applyNumberFormat="1" applyFont="1" applyFill="1" applyBorder="1" applyAlignment="1">
      <alignment horizontal="left" vertical="center" wrapText="1"/>
    </xf>
    <xf numFmtId="49" fontId="25" fillId="0" borderId="6" xfId="0" applyNumberFormat="1" applyFont="1" applyBorder="1" applyAlignment="1">
      <alignment horizontal="center" wrapText="1"/>
    </xf>
    <xf numFmtId="49" fontId="25" fillId="0" borderId="6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0" fontId="18" fillId="0" borderId="1" xfId="0" applyFont="1" applyBorder="1" applyAlignment="1">
      <alignment horizontal="left" wrapText="1"/>
    </xf>
    <xf numFmtId="166" fontId="11" fillId="0" borderId="19" xfId="1" applyNumberFormat="1" applyFont="1" applyBorder="1" applyAlignment="1">
      <alignment horizontal="center" wrapText="1"/>
    </xf>
    <xf numFmtId="43" fontId="11" fillId="0" borderId="19" xfId="1" applyNumberFormat="1" applyFont="1" applyBorder="1" applyAlignment="1">
      <alignment horizontal="center" wrapText="1"/>
    </xf>
    <xf numFmtId="43" fontId="11" fillId="0" borderId="19" xfId="1" applyNumberFormat="1" applyFont="1" applyBorder="1" applyAlignment="1">
      <alignment horizontal="center"/>
    </xf>
    <xf numFmtId="0" fontId="25" fillId="0" borderId="6" xfId="0" applyFont="1" applyBorder="1" applyAlignment="1">
      <alignment horizontal="center"/>
    </xf>
    <xf numFmtId="0" fontId="18" fillId="0" borderId="6" xfId="0" applyFont="1" applyBorder="1" applyAlignment="1">
      <alignment horizontal="left" wrapText="1"/>
    </xf>
    <xf numFmtId="0" fontId="18" fillId="0" borderId="4" xfId="0" applyFont="1" applyBorder="1" applyAlignment="1">
      <alignment horizontal="left" wrapText="1"/>
    </xf>
    <xf numFmtId="43" fontId="18" fillId="0" borderId="8" xfId="0" applyNumberFormat="1" applyFont="1" applyBorder="1" applyAlignment="1">
      <alignment horizontal="center"/>
    </xf>
    <xf numFmtId="166" fontId="11" fillId="0" borderId="1" xfId="1" applyNumberFormat="1" applyFont="1" applyBorder="1" applyAlignment="1">
      <alignment horizontal="center" wrapText="1"/>
    </xf>
    <xf numFmtId="43" fontId="31" fillId="0" borderId="4" xfId="0" applyNumberFormat="1" applyFont="1" applyBorder="1" applyAlignment="1">
      <alignment horizontal="center"/>
    </xf>
    <xf numFmtId="43" fontId="17" fillId="0" borderId="1" xfId="1" applyFont="1" applyBorder="1" applyAlignment="1">
      <alignment horizontal="right"/>
    </xf>
    <xf numFmtId="0" fontId="11" fillId="0" borderId="19" xfId="0" applyFont="1" applyBorder="1" applyAlignment="1">
      <alignment horizontal="left" wrapText="1"/>
    </xf>
    <xf numFmtId="166" fontId="11" fillId="0" borderId="5" xfId="1" applyNumberFormat="1" applyFont="1" applyBorder="1" applyAlignment="1">
      <alignment horizontal="center" wrapText="1"/>
    </xf>
    <xf numFmtId="49" fontId="36" fillId="2" borderId="5" xfId="0" applyNumberFormat="1" applyFont="1" applyFill="1" applyBorder="1" applyAlignment="1">
      <alignment horizontal="left" vertical="center" wrapText="1"/>
    </xf>
    <xf numFmtId="164" fontId="20" fillId="0" borderId="1" xfId="0" applyNumberFormat="1" applyFont="1" applyBorder="1"/>
    <xf numFmtId="4" fontId="20" fillId="0" borderId="1" xfId="0" applyNumberFormat="1" applyFont="1" applyBorder="1"/>
    <xf numFmtId="49" fontId="36" fillId="2" borderId="1" xfId="0" applyNumberFormat="1" applyFont="1" applyFill="1" applyBorder="1" applyAlignment="1">
      <alignment horizontal="left" wrapText="1"/>
    </xf>
    <xf numFmtId="43" fontId="45" fillId="0" borderId="1" xfId="0" applyNumberFormat="1" applyFont="1" applyBorder="1" applyAlignment="1">
      <alignment horizontal="center"/>
    </xf>
    <xf numFmtId="43" fontId="46" fillId="0" borderId="1" xfId="0" applyNumberFormat="1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43" fontId="11" fillId="0" borderId="1" xfId="0" applyNumberFormat="1" applyFont="1" applyBorder="1"/>
    <xf numFmtId="49" fontId="18" fillId="0" borderId="6" xfId="0" applyNumberFormat="1" applyFont="1" applyBorder="1" applyAlignment="1">
      <alignment horizontal="center"/>
    </xf>
    <xf numFmtId="43" fontId="11" fillId="0" borderId="6" xfId="0" applyNumberFormat="1" applyFont="1" applyBorder="1" applyAlignment="1">
      <alignment horizontal="center"/>
    </xf>
    <xf numFmtId="43" fontId="25" fillId="0" borderId="6" xfId="0" applyNumberFormat="1" applyFont="1" applyBorder="1" applyAlignment="1">
      <alignment horizontal="center" wrapText="1"/>
    </xf>
    <xf numFmtId="43" fontId="25" fillId="0" borderId="6" xfId="0" applyNumberFormat="1" applyFont="1" applyBorder="1" applyAlignment="1">
      <alignment horizontal="center"/>
    </xf>
    <xf numFmtId="0" fontId="11" fillId="0" borderId="1" xfId="0" applyFont="1" applyBorder="1" applyAlignment="1">
      <alignment horizontal="left" wrapText="1"/>
    </xf>
    <xf numFmtId="43" fontId="11" fillId="0" borderId="1" xfId="1" applyNumberFormat="1" applyFont="1" applyBorder="1" applyAlignment="1">
      <alignment horizontal="center" wrapText="1"/>
    </xf>
    <xf numFmtId="43" fontId="18" fillId="0" borderId="1" xfId="0" applyNumberFormat="1" applyFont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17" fillId="0" borderId="0" xfId="0" applyFont="1" applyBorder="1" applyAlignment="1">
      <alignment horizontal="right" wrapText="1"/>
    </xf>
    <xf numFmtId="4" fontId="17" fillId="0" borderId="0" xfId="0" applyNumberFormat="1" applyFont="1" applyBorder="1"/>
    <xf numFmtId="43" fontId="17" fillId="0" borderId="0" xfId="1" applyFont="1" applyBorder="1"/>
    <xf numFmtId="0" fontId="0" fillId="0" borderId="19" xfId="0" applyBorder="1" applyAlignment="1">
      <alignment horizontal="center"/>
    </xf>
    <xf numFmtId="43" fontId="18" fillId="0" borderId="19" xfId="0" applyNumberFormat="1" applyFont="1" applyBorder="1" applyAlignment="1">
      <alignment horizontal="center"/>
    </xf>
    <xf numFmtId="43" fontId="11" fillId="0" borderId="19" xfId="0" applyNumberFormat="1" applyFont="1" applyBorder="1" applyAlignment="1">
      <alignment horizontal="center"/>
    </xf>
    <xf numFmtId="49" fontId="8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horizontal="right" vertical="center" wrapText="1"/>
    </xf>
    <xf numFmtId="43" fontId="40" fillId="0" borderId="1" xfId="0" applyNumberFormat="1" applyFont="1" applyBorder="1" applyAlignment="1">
      <alignment horizontal="center"/>
    </xf>
    <xf numFmtId="49" fontId="11" fillId="2" borderId="4" xfId="0" applyNumberFormat="1" applyFont="1" applyFill="1" applyBorder="1" applyAlignment="1">
      <alignment horizontal="center" wrapText="1"/>
    </xf>
    <xf numFmtId="0" fontId="18" fillId="0" borderId="19" xfId="0" applyFont="1" applyBorder="1" applyAlignment="1">
      <alignment wrapText="1"/>
    </xf>
    <xf numFmtId="0" fontId="19" fillId="0" borderId="19" xfId="0" applyFont="1" applyBorder="1"/>
    <xf numFmtId="0" fontId="20" fillId="0" borderId="1" xfId="0" applyFont="1" applyBorder="1" applyAlignment="1">
      <alignment wrapText="1"/>
    </xf>
    <xf numFmtId="0" fontId="29" fillId="0" borderId="1" xfId="0" applyFont="1" applyBorder="1"/>
    <xf numFmtId="0" fontId="18" fillId="0" borderId="1" xfId="0" applyFont="1" applyBorder="1" applyAlignment="1">
      <alignment vertical="center" wrapText="1"/>
    </xf>
    <xf numFmtId="0" fontId="19" fillId="0" borderId="5" xfId="0" applyFont="1" applyBorder="1"/>
    <xf numFmtId="49" fontId="11" fillId="0" borderId="5" xfId="0" applyNumberFormat="1" applyFont="1" applyBorder="1"/>
    <xf numFmtId="43" fontId="10" fillId="0" borderId="5" xfId="0" applyNumberFormat="1" applyFont="1" applyBorder="1"/>
    <xf numFmtId="43" fontId="10" fillId="0" borderId="5" xfId="0" applyNumberFormat="1" applyFont="1" applyBorder="1" applyAlignment="1"/>
    <xf numFmtId="43" fontId="13" fillId="0" borderId="12" xfId="0" applyNumberFormat="1" applyFont="1" applyBorder="1" applyAlignment="1">
      <alignment horizontal="center"/>
    </xf>
    <xf numFmtId="0" fontId="5" fillId="0" borderId="5" xfId="0" applyFont="1" applyBorder="1"/>
    <xf numFmtId="0" fontId="19" fillId="0" borderId="6" xfId="0" applyFont="1" applyBorder="1"/>
    <xf numFmtId="0" fontId="20" fillId="0" borderId="6" xfId="0" applyFont="1" applyBorder="1" applyAlignment="1">
      <alignment wrapText="1"/>
    </xf>
    <xf numFmtId="0" fontId="29" fillId="0" borderId="6" xfId="0" applyFont="1" applyBorder="1"/>
    <xf numFmtId="1" fontId="10" fillId="0" borderId="6" xfId="0" applyNumberFormat="1" applyFont="1" applyBorder="1" applyAlignment="1">
      <alignment horizontal="right"/>
    </xf>
    <xf numFmtId="0" fontId="18" fillId="0" borderId="6" xfId="0" applyFont="1" applyBorder="1" applyAlignment="1">
      <alignment vertical="center" wrapText="1"/>
    </xf>
    <xf numFmtId="43" fontId="17" fillId="0" borderId="6" xfId="0" applyNumberFormat="1" applyFont="1" applyBorder="1"/>
    <xf numFmtId="0" fontId="5" fillId="0" borderId="6" xfId="0" applyFont="1" applyBorder="1"/>
    <xf numFmtId="43" fontId="17" fillId="0" borderId="4" xfId="0" applyNumberFormat="1" applyFont="1" applyBorder="1"/>
    <xf numFmtId="0" fontId="29" fillId="0" borderId="5" xfId="0" applyFont="1" applyBorder="1"/>
    <xf numFmtId="0" fontId="18" fillId="0" borderId="5" xfId="0" applyFont="1" applyBorder="1" applyAlignment="1">
      <alignment vertical="center" wrapText="1"/>
    </xf>
    <xf numFmtId="43" fontId="11" fillId="0" borderId="12" xfId="0" applyNumberFormat="1" applyFont="1" applyBorder="1" applyAlignment="1">
      <alignment horizontal="center"/>
    </xf>
    <xf numFmtId="0" fontId="18" fillId="0" borderId="4" xfId="0" applyFont="1" applyBorder="1" applyAlignment="1">
      <alignment horizontal="left" vertical="center" wrapText="1"/>
    </xf>
    <xf numFmtId="43" fontId="10" fillId="0" borderId="6" xfId="0" applyNumberFormat="1" applyFont="1" applyBorder="1"/>
    <xf numFmtId="49" fontId="36" fillId="2" borderId="5" xfId="0" applyNumberFormat="1" applyFont="1" applyFill="1" applyBorder="1" applyAlignment="1">
      <alignment horizontal="left" wrapText="1"/>
    </xf>
    <xf numFmtId="0" fontId="20" fillId="0" borderId="5" xfId="0" applyFont="1" applyBorder="1" applyAlignment="1">
      <alignment horizontal="center"/>
    </xf>
    <xf numFmtId="49" fontId="11" fillId="2" borderId="5" xfId="0" applyNumberFormat="1" applyFont="1" applyFill="1" applyBorder="1" applyAlignment="1">
      <alignment horizontal="left" vertical="center" wrapText="1"/>
    </xf>
    <xf numFmtId="0" fontId="20" fillId="0" borderId="6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49" fontId="19" fillId="0" borderId="6" xfId="0" applyNumberFormat="1" applyFont="1" applyBorder="1" applyAlignment="1">
      <alignment horizontal="center"/>
    </xf>
    <xf numFmtId="0" fontId="20" fillId="0" borderId="6" xfId="0" applyFont="1" applyBorder="1" applyAlignment="1">
      <alignment horizontal="center" wrapText="1"/>
    </xf>
    <xf numFmtId="49" fontId="20" fillId="0" borderId="6" xfId="0" applyNumberFormat="1" applyFont="1" applyBorder="1" applyAlignment="1">
      <alignment horizontal="center" wrapText="1"/>
    </xf>
    <xf numFmtId="49" fontId="20" fillId="0" borderId="6" xfId="0" applyNumberFormat="1" applyFont="1" applyBorder="1" applyAlignment="1">
      <alignment horizontal="center"/>
    </xf>
    <xf numFmtId="49" fontId="20" fillId="0" borderId="14" xfId="0" applyNumberFormat="1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49" fontId="19" fillId="0" borderId="4" xfId="0" applyNumberFormat="1" applyFont="1" applyBorder="1" applyAlignment="1">
      <alignment horizontal="center"/>
    </xf>
    <xf numFmtId="43" fontId="18" fillId="0" borderId="11" xfId="0" applyNumberFormat="1" applyFont="1" applyBorder="1" applyAlignment="1">
      <alignment horizontal="center"/>
    </xf>
    <xf numFmtId="43" fontId="25" fillId="0" borderId="11" xfId="0" applyNumberFormat="1" applyFont="1" applyBorder="1" applyAlignment="1">
      <alignment horizontal="center"/>
    </xf>
    <xf numFmtId="0" fontId="18" fillId="0" borderId="5" xfId="0" applyFont="1" applyBorder="1" applyAlignment="1">
      <alignment horizontal="left" vertical="center" wrapText="1"/>
    </xf>
    <xf numFmtId="0" fontId="29" fillId="0" borderId="19" xfId="0" applyFont="1" applyBorder="1"/>
    <xf numFmtId="43" fontId="10" fillId="0" borderId="19" xfId="0" applyNumberFormat="1" applyFont="1" applyBorder="1"/>
    <xf numFmtId="0" fontId="5" fillId="0" borderId="19" xfId="0" applyFont="1" applyBorder="1"/>
    <xf numFmtId="0" fontId="20" fillId="0" borderId="19" xfId="0" applyFont="1" applyBorder="1" applyAlignment="1">
      <alignment wrapText="1"/>
    </xf>
    <xf numFmtId="43" fontId="13" fillId="0" borderId="1" xfId="0" applyNumberFormat="1" applyFont="1" applyBorder="1" applyAlignment="1">
      <alignment horizontal="center"/>
    </xf>
    <xf numFmtId="43" fontId="13" fillId="0" borderId="5" xfId="0" applyNumberFormat="1" applyFont="1" applyBorder="1" applyAlignment="1">
      <alignment horizontal="center"/>
    </xf>
    <xf numFmtId="49" fontId="36" fillId="2" borderId="5" xfId="0" applyNumberFormat="1" applyFont="1" applyFill="1" applyBorder="1" applyAlignment="1">
      <alignment wrapText="1"/>
    </xf>
    <xf numFmtId="0" fontId="17" fillId="0" borderId="0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17" fillId="0" borderId="5" xfId="0" applyFont="1" applyBorder="1"/>
    <xf numFmtId="43" fontId="17" fillId="0" borderId="1" xfId="0" applyNumberFormat="1" applyFont="1" applyBorder="1"/>
    <xf numFmtId="43" fontId="47" fillId="2" borderId="3" xfId="1" applyFont="1" applyFill="1" applyBorder="1" applyAlignment="1">
      <alignment horizontal="right" wrapText="1"/>
    </xf>
    <xf numFmtId="0" fontId="17" fillId="0" borderId="0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18" fillId="0" borderId="6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43" fontId="11" fillId="0" borderId="6" xfId="1" applyFont="1" applyBorder="1" applyAlignment="1">
      <alignment horizontal="center" wrapText="1"/>
    </xf>
    <xf numFmtId="43" fontId="11" fillId="0" borderId="19" xfId="1" applyFont="1" applyBorder="1" applyAlignment="1">
      <alignment horizontal="center" wrapText="1"/>
    </xf>
    <xf numFmtId="0" fontId="43" fillId="0" borderId="8" xfId="0" applyFont="1" applyBorder="1" applyAlignment="1">
      <alignment horizontal="center"/>
    </xf>
    <xf numFmtId="43" fontId="11" fillId="0" borderId="6" xfId="1" applyFont="1" applyBorder="1" applyAlignment="1">
      <alignment horizontal="center"/>
    </xf>
    <xf numFmtId="43" fontId="43" fillId="0" borderId="6" xfId="1" applyFont="1" applyBorder="1" applyAlignment="1">
      <alignment horizontal="center"/>
    </xf>
    <xf numFmtId="49" fontId="18" fillId="0" borderId="5" xfId="0" applyNumberFormat="1" applyFont="1" applyBorder="1"/>
    <xf numFmtId="43" fontId="11" fillId="0" borderId="19" xfId="1" applyFont="1" applyBorder="1" applyAlignment="1">
      <alignment horizontal="center"/>
    </xf>
    <xf numFmtId="0" fontId="15" fillId="0" borderId="4" xfId="0" applyFont="1" applyBorder="1" applyAlignment="1">
      <alignment horizontal="right" vertical="center"/>
    </xf>
    <xf numFmtId="0" fontId="3" fillId="0" borderId="1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43" fontId="18" fillId="0" borderId="4" xfId="1" applyFont="1" applyBorder="1" applyAlignment="1">
      <alignment horizontal="center"/>
    </xf>
    <xf numFmtId="4" fontId="36" fillId="2" borderId="1" xfId="0" applyNumberFormat="1" applyFont="1" applyFill="1" applyBorder="1" applyAlignment="1">
      <alignment horizontal="right" wrapText="1"/>
    </xf>
    <xf numFmtId="0" fontId="11" fillId="0" borderId="1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20" fillId="0" borderId="6" xfId="0" applyFont="1" applyBorder="1"/>
    <xf numFmtId="0" fontId="17" fillId="0" borderId="0" xfId="0" applyFont="1" applyBorder="1" applyAlignment="1">
      <alignment horizontal="center"/>
    </xf>
    <xf numFmtId="43" fontId="11" fillId="0" borderId="5" xfId="1" applyFont="1" applyBorder="1" applyAlignment="1">
      <alignment horizontal="center" wrapText="1"/>
    </xf>
    <xf numFmtId="0" fontId="0" fillId="2" borderId="1" xfId="0" applyFill="1" applyBorder="1" applyAlignment="1">
      <alignment horizontal="center" vertical="center" wrapText="1"/>
    </xf>
    <xf numFmtId="0" fontId="25" fillId="0" borderId="1" xfId="0" applyFont="1" applyBorder="1" applyAlignment="1">
      <alignment horizontal="right" wrapText="1"/>
    </xf>
    <xf numFmtId="0" fontId="18" fillId="0" borderId="1" xfId="0" applyFont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right" wrapText="1"/>
    </xf>
    <xf numFmtId="49" fontId="11" fillId="2" borderId="6" xfId="0" applyNumberFormat="1" applyFont="1" applyFill="1" applyBorder="1" applyAlignment="1">
      <alignment horizontal="center" wrapText="1"/>
    </xf>
    <xf numFmtId="43" fontId="40" fillId="0" borderId="6" xfId="0" applyNumberFormat="1" applyFont="1" applyBorder="1" applyAlignment="1">
      <alignment horizontal="center"/>
    </xf>
    <xf numFmtId="43" fontId="18" fillId="3" borderId="1" xfId="1" applyFont="1" applyFill="1" applyBorder="1" applyAlignment="1">
      <alignment horizontal="right" vertical="center" wrapText="1"/>
    </xf>
    <xf numFmtId="43" fontId="11" fillId="2" borderId="3" xfId="1" applyFont="1" applyFill="1" applyBorder="1" applyAlignment="1">
      <alignment horizontal="right" vertical="center" wrapText="1"/>
    </xf>
    <xf numFmtId="43" fontId="10" fillId="0" borderId="1" xfId="1" applyFont="1" applyBorder="1" applyAlignment="1">
      <alignment vertical="center"/>
    </xf>
    <xf numFmtId="0" fontId="16" fillId="0" borderId="1" xfId="0" applyFont="1" applyBorder="1" applyAlignment="1">
      <alignment horizontal="left" vertical="center" wrapText="1"/>
    </xf>
    <xf numFmtId="0" fontId="16" fillId="3" borderId="1" xfId="0" applyFont="1" applyFill="1" applyBorder="1" applyAlignment="1">
      <alignment horizontal="left" vertical="center" wrapText="1"/>
    </xf>
    <xf numFmtId="43" fontId="18" fillId="0" borderId="1" xfId="1" applyFont="1" applyBorder="1" applyAlignment="1">
      <alignment horizontal="center" vertical="center" wrapText="1"/>
    </xf>
    <xf numFmtId="4" fontId="18" fillId="3" borderId="1" xfId="0" applyNumberFormat="1" applyFont="1" applyFill="1" applyBorder="1" applyAlignment="1">
      <alignment horizontal="right" wrapText="1"/>
    </xf>
    <xf numFmtId="49" fontId="18" fillId="0" borderId="1" xfId="0" applyNumberFormat="1" applyFont="1" applyBorder="1" applyAlignment="1">
      <alignment horizontal="center"/>
    </xf>
    <xf numFmtId="43" fontId="15" fillId="0" borderId="1" xfId="1" applyFont="1" applyBorder="1"/>
    <xf numFmtId="4" fontId="18" fillId="0" borderId="1" xfId="0" applyNumberFormat="1" applyFont="1" applyBorder="1" applyAlignment="1"/>
    <xf numFmtId="0" fontId="10" fillId="2" borderId="1" xfId="0" applyFont="1" applyFill="1" applyBorder="1" applyAlignment="1">
      <alignment wrapText="1"/>
    </xf>
    <xf numFmtId="49" fontId="10" fillId="2" borderId="5" xfId="0" applyNumberFormat="1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vertical="center" wrapText="1"/>
    </xf>
    <xf numFmtId="4" fontId="10" fillId="2" borderId="5" xfId="0" applyNumberFormat="1" applyFont="1" applyFill="1" applyBorder="1" applyAlignment="1">
      <alignment horizontal="right" vertical="center" wrapText="1"/>
    </xf>
    <xf numFmtId="43" fontId="11" fillId="2" borderId="22" xfId="1" applyFont="1" applyFill="1" applyBorder="1" applyAlignment="1">
      <alignment horizontal="right" wrapText="1"/>
    </xf>
    <xf numFmtId="43" fontId="10" fillId="0" borderId="5" xfId="1" applyFont="1" applyBorder="1"/>
    <xf numFmtId="0" fontId="15" fillId="0" borderId="1" xfId="0" applyFont="1" applyBorder="1" applyAlignment="1">
      <alignment horizontal="right" wrapText="1"/>
    </xf>
    <xf numFmtId="43" fontId="15" fillId="0" borderId="1" xfId="0" applyNumberFormat="1" applyFont="1" applyBorder="1"/>
    <xf numFmtId="0" fontId="3" fillId="0" borderId="8" xfId="0" applyFont="1" applyBorder="1" applyAlignment="1">
      <alignment horizontal="center"/>
    </xf>
    <xf numFmtId="43" fontId="36" fillId="2" borderId="5" xfId="1" applyFont="1" applyFill="1" applyBorder="1" applyAlignment="1">
      <alignment horizontal="right" wrapText="1"/>
    </xf>
    <xf numFmtId="0" fontId="12" fillId="0" borderId="1" xfId="0" applyFont="1" applyBorder="1" applyAlignment="1">
      <alignment horizontal="center"/>
    </xf>
    <xf numFmtId="49" fontId="18" fillId="0" borderId="19" xfId="0" applyNumberFormat="1" applyFont="1" applyBorder="1" applyAlignment="1">
      <alignment horizontal="center"/>
    </xf>
    <xf numFmtId="43" fontId="29" fillId="0" borderId="19" xfId="1" applyFont="1" applyBorder="1" applyAlignment="1">
      <alignment horizontal="center"/>
    </xf>
    <xf numFmtId="49" fontId="18" fillId="0" borderId="10" xfId="0" applyNumberFormat="1" applyFont="1" applyBorder="1" applyAlignment="1">
      <alignment horizontal="center"/>
    </xf>
    <xf numFmtId="43" fontId="30" fillId="0" borderId="4" xfId="1" applyFont="1" applyBorder="1" applyAlignment="1">
      <alignment horizontal="center"/>
    </xf>
    <xf numFmtId="0" fontId="20" fillId="0" borderId="8" xfId="0" applyFont="1" applyBorder="1" applyAlignment="1">
      <alignment horizontal="center"/>
    </xf>
    <xf numFmtId="0" fontId="43" fillId="0" borderId="0" xfId="0" applyFont="1" applyAlignment="1">
      <alignment horizontal="center"/>
    </xf>
    <xf numFmtId="0" fontId="18" fillId="0" borderId="19" xfId="0" applyFont="1" applyBorder="1" applyAlignment="1">
      <alignment horizontal="left" vertical="center" wrapText="1"/>
    </xf>
    <xf numFmtId="0" fontId="43" fillId="0" borderId="15" xfId="0" applyFont="1" applyBorder="1" applyAlignment="1">
      <alignment horizontal="center"/>
    </xf>
    <xf numFmtId="43" fontId="11" fillId="0" borderId="23" xfId="0" applyNumberFormat="1" applyFont="1" applyBorder="1" applyAlignment="1">
      <alignment horizontal="center"/>
    </xf>
    <xf numFmtId="43" fontId="12" fillId="0" borderId="23" xfId="0" applyNumberFormat="1" applyFont="1" applyBorder="1" applyAlignment="1">
      <alignment horizontal="center"/>
    </xf>
    <xf numFmtId="49" fontId="36" fillId="2" borderId="1" xfId="0" applyNumberFormat="1" applyFont="1" applyFill="1" applyBorder="1" applyAlignment="1">
      <alignment horizontal="center" vertical="center" wrapText="1"/>
    </xf>
    <xf numFmtId="0" fontId="11" fillId="0" borderId="23" xfId="0" quotePrefix="1" applyFont="1" applyBorder="1" applyAlignment="1">
      <alignment horizontal="center"/>
    </xf>
    <xf numFmtId="0" fontId="11" fillId="0" borderId="23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24" xfId="0" applyFont="1" applyBorder="1" applyAlignment="1">
      <alignment horizontal="center" wrapText="1"/>
    </xf>
    <xf numFmtId="49" fontId="18" fillId="0" borderId="6" xfId="0" applyNumberFormat="1" applyFont="1" applyBorder="1"/>
    <xf numFmtId="0" fontId="43" fillId="0" borderId="10" xfId="0" applyFont="1" applyBorder="1" applyAlignment="1">
      <alignment horizontal="center"/>
    </xf>
    <xf numFmtId="0" fontId="43" fillId="0" borderId="4" xfId="0" quotePrefix="1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10" fillId="3" borderId="2" xfId="0" applyFont="1" applyFill="1" applyBorder="1" applyAlignment="1">
      <alignment wrapText="1"/>
    </xf>
    <xf numFmtId="43" fontId="10" fillId="0" borderId="5" xfId="1" applyFont="1" applyBorder="1" applyAlignment="1">
      <alignment horizontal="center"/>
    </xf>
    <xf numFmtId="0" fontId="36" fillId="0" borderId="1" xfId="0" applyFont="1" applyBorder="1" applyAlignment="1">
      <alignment horizontal="left" wrapText="1"/>
    </xf>
    <xf numFmtId="0" fontId="39" fillId="2" borderId="2" xfId="0" applyFont="1" applyFill="1" applyBorder="1" applyAlignment="1">
      <alignment vertical="center" wrapText="1"/>
    </xf>
    <xf numFmtId="0" fontId="13" fillId="0" borderId="2" xfId="0" applyFont="1" applyBorder="1" applyAlignment="1">
      <alignment wrapText="1"/>
    </xf>
    <xf numFmtId="0" fontId="39" fillId="2" borderId="1" xfId="0" applyFont="1" applyFill="1" applyBorder="1" applyAlignment="1">
      <alignment vertical="center" wrapText="1"/>
    </xf>
    <xf numFmtId="0" fontId="39" fillId="0" borderId="2" xfId="0" applyFont="1" applyBorder="1" applyAlignment="1">
      <alignment wrapText="1"/>
    </xf>
    <xf numFmtId="43" fontId="19" fillId="0" borderId="1" xfId="1" applyFont="1" applyBorder="1" applyAlignment="1">
      <alignment horizontal="center" wrapText="1"/>
    </xf>
    <xf numFmtId="43" fontId="19" fillId="0" borderId="1" xfId="1" applyFont="1" applyBorder="1" applyAlignment="1">
      <alignment horizontal="center"/>
    </xf>
    <xf numFmtId="0" fontId="39" fillId="3" borderId="1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vertical="center" wrapText="1"/>
    </xf>
    <xf numFmtId="0" fontId="39" fillId="0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wrapText="1"/>
    </xf>
    <xf numFmtId="49" fontId="10" fillId="0" borderId="6" xfId="0" applyNumberFormat="1" applyFont="1" applyBorder="1" applyAlignment="1">
      <alignment horizontal="center"/>
    </xf>
    <xf numFmtId="43" fontId="11" fillId="0" borderId="1" xfId="0" applyNumberFormat="1" applyFont="1" applyBorder="1" applyAlignment="1">
      <alignment horizontal="left" vertical="center" wrapText="1"/>
    </xf>
    <xf numFmtId="43" fontId="11" fillId="0" borderId="1" xfId="1" applyFont="1" applyBorder="1" applyAlignment="1">
      <alignment horizontal="left"/>
    </xf>
    <xf numFmtId="43" fontId="11" fillId="0" borderId="1" xfId="0" applyNumberFormat="1" applyFont="1" applyBorder="1" applyAlignment="1">
      <alignment horizontal="right"/>
    </xf>
    <xf numFmtId="43" fontId="11" fillId="0" borderId="1" xfId="1" applyFont="1" applyBorder="1" applyAlignment="1">
      <alignment horizontal="right"/>
    </xf>
    <xf numFmtId="4" fontId="11" fillId="0" borderId="1" xfId="0" applyNumberFormat="1" applyFont="1" applyBorder="1" applyAlignment="1">
      <alignment horizontal="right" wrapText="1"/>
    </xf>
    <xf numFmtId="43" fontId="11" fillId="0" borderId="1" xfId="1" applyFont="1" applyBorder="1" applyAlignment="1">
      <alignment horizontal="right" wrapText="1"/>
    </xf>
    <xf numFmtId="43" fontId="21" fillId="0" borderId="6" xfId="1" applyFont="1" applyBorder="1" applyAlignment="1">
      <alignment horizontal="right"/>
    </xf>
    <xf numFmtId="4" fontId="14" fillId="0" borderId="16" xfId="0" applyNumberFormat="1" applyFont="1" applyBorder="1" applyAlignment="1">
      <alignment horizontal="center" vertical="center"/>
    </xf>
    <xf numFmtId="4" fontId="14" fillId="0" borderId="7" xfId="0" applyNumberFormat="1" applyFont="1" applyBorder="1" applyAlignment="1">
      <alignment horizontal="center" vertical="center"/>
    </xf>
    <xf numFmtId="164" fontId="14" fillId="0" borderId="7" xfId="0" applyNumberFormat="1" applyFont="1" applyBorder="1" applyAlignment="1">
      <alignment horizontal="right" vertical="center"/>
    </xf>
    <xf numFmtId="43" fontId="30" fillId="0" borderId="6" xfId="1" applyFont="1" applyBorder="1" applyAlignment="1">
      <alignment horizontal="center"/>
    </xf>
    <xf numFmtId="0" fontId="49" fillId="0" borderId="1" xfId="0" applyFont="1" applyBorder="1"/>
    <xf numFmtId="43" fontId="49" fillId="0" borderId="1" xfId="1" applyFont="1" applyBorder="1" applyAlignment="1">
      <alignment horizontal="center"/>
    </xf>
    <xf numFmtId="43" fontId="49" fillId="0" borderId="1" xfId="1" applyFont="1" applyBorder="1"/>
    <xf numFmtId="43" fontId="49" fillId="0" borderId="1" xfId="1" applyFont="1" applyBorder="1" applyAlignment="1">
      <alignment horizontal="center" wrapText="1"/>
    </xf>
    <xf numFmtId="0" fontId="50" fillId="0" borderId="1" xfId="0" applyFont="1" applyBorder="1" applyAlignment="1">
      <alignment horizontal="center" vertical="center"/>
    </xf>
    <xf numFmtId="0" fontId="50" fillId="0" borderId="1" xfId="0" applyFont="1" applyBorder="1" applyAlignment="1">
      <alignment vertical="center"/>
    </xf>
    <xf numFmtId="4" fontId="50" fillId="0" borderId="1" xfId="0" applyNumberFormat="1" applyFont="1" applyBorder="1" applyAlignment="1">
      <alignment horizontal="right" vertical="center"/>
    </xf>
    <xf numFmtId="0" fontId="51" fillId="0" borderId="1" xfId="0" applyFont="1" applyBorder="1"/>
    <xf numFmtId="43" fontId="49" fillId="0" borderId="1" xfId="1" applyFont="1" applyBorder="1" applyAlignment="1">
      <alignment horizontal="right"/>
    </xf>
    <xf numFmtId="0" fontId="52" fillId="0" borderId="0" xfId="0" applyFont="1" applyAlignment="1">
      <alignment horizontal="center"/>
    </xf>
    <xf numFmtId="0" fontId="52" fillId="0" borderId="0" xfId="0" applyFont="1" applyBorder="1" applyAlignment="1">
      <alignment horizontal="center"/>
    </xf>
    <xf numFmtId="0" fontId="49" fillId="0" borderId="1" xfId="0" applyFont="1" applyFill="1" applyBorder="1" applyAlignment="1">
      <alignment horizontal="center" wrapText="1"/>
    </xf>
    <xf numFmtId="0" fontId="49" fillId="0" borderId="5" xfId="0" applyFont="1" applyFill="1" applyBorder="1" applyAlignment="1">
      <alignment horizontal="center" wrapText="1"/>
    </xf>
    <xf numFmtId="43" fontId="51" fillId="0" borderId="1" xfId="1" applyFont="1" applyBorder="1"/>
    <xf numFmtId="43" fontId="49" fillId="0" borderId="1" xfId="0" applyNumberFormat="1" applyFont="1" applyBorder="1"/>
    <xf numFmtId="43" fontId="49" fillId="0" borderId="1" xfId="1" applyFont="1" applyFill="1" applyBorder="1" applyAlignment="1">
      <alignment horizontal="right"/>
    </xf>
    <xf numFmtId="49" fontId="53" fillId="0" borderId="1" xfId="0" applyNumberFormat="1" applyFont="1" applyBorder="1"/>
    <xf numFmtId="49" fontId="53" fillId="0" borderId="1" xfId="0" applyNumberFormat="1" applyFont="1" applyBorder="1" applyAlignment="1">
      <alignment wrapText="1"/>
    </xf>
    <xf numFmtId="49" fontId="19" fillId="0" borderId="6" xfId="0" applyNumberFormat="1" applyFont="1" applyBorder="1"/>
    <xf numFmtId="49" fontId="19" fillId="0" borderId="6" xfId="0" applyNumberFormat="1" applyFont="1" applyBorder="1" applyAlignment="1">
      <alignment wrapText="1"/>
    </xf>
    <xf numFmtId="49" fontId="19" fillId="0" borderId="1" xfId="0" applyNumberFormat="1" applyFont="1" applyBorder="1"/>
    <xf numFmtId="49" fontId="19" fillId="0" borderId="1" xfId="0" applyNumberFormat="1" applyFont="1" applyBorder="1" applyAlignment="1">
      <alignment wrapText="1"/>
    </xf>
    <xf numFmtId="49" fontId="54" fillId="0" borderId="1" xfId="0" applyNumberFormat="1" applyFont="1" applyBorder="1" applyAlignment="1">
      <alignment wrapText="1"/>
    </xf>
    <xf numFmtId="49" fontId="54" fillId="0" borderId="1" xfId="0" applyNumberFormat="1" applyFont="1" applyBorder="1"/>
    <xf numFmtId="49" fontId="53" fillId="0" borderId="6" xfId="0" applyNumberFormat="1" applyFont="1" applyBorder="1" applyAlignment="1">
      <alignment wrapText="1"/>
    </xf>
    <xf numFmtId="49" fontId="36" fillId="0" borderId="1" xfId="0" applyNumberFormat="1" applyFont="1" applyBorder="1" applyAlignment="1">
      <alignment wrapText="1"/>
    </xf>
    <xf numFmtId="49" fontId="10" fillId="0" borderId="1" xfId="0" applyNumberFormat="1" applyFont="1" applyBorder="1" applyAlignment="1">
      <alignment wrapText="1"/>
    </xf>
    <xf numFmtId="0" fontId="53" fillId="2" borderId="1" xfId="0" applyFont="1" applyFill="1" applyBorder="1" applyAlignment="1">
      <alignment horizontal="left" vertical="center" wrapText="1"/>
    </xf>
    <xf numFmtId="49" fontId="19" fillId="0" borderId="5" xfId="0" applyNumberFormat="1" applyFont="1" applyBorder="1"/>
    <xf numFmtId="0" fontId="53" fillId="2" borderId="5" xfId="0" applyFont="1" applyFill="1" applyBorder="1" applyAlignment="1">
      <alignment horizontal="left" vertical="center" wrapText="1"/>
    </xf>
    <xf numFmtId="49" fontId="20" fillId="0" borderId="10" xfId="0" applyNumberFormat="1" applyFont="1" applyBorder="1"/>
    <xf numFmtId="49" fontId="25" fillId="0" borderId="4" xfId="0" applyNumberFormat="1" applyFont="1" applyBorder="1" applyAlignment="1">
      <alignment horizontal="right"/>
    </xf>
    <xf numFmtId="4" fontId="15" fillId="0" borderId="8" xfId="0" applyNumberFormat="1" applyFont="1" applyBorder="1"/>
    <xf numFmtId="49" fontId="55" fillId="0" borderId="1" xfId="0" applyNumberFormat="1" applyFont="1" applyBorder="1" applyAlignment="1">
      <alignment wrapText="1"/>
    </xf>
    <xf numFmtId="49" fontId="21" fillId="0" borderId="1" xfId="0" applyNumberFormat="1" applyFont="1" applyBorder="1"/>
    <xf numFmtId="4" fontId="21" fillId="0" borderId="1" xfId="0" applyNumberFormat="1" applyFont="1" applyBorder="1"/>
    <xf numFmtId="49" fontId="20" fillId="0" borderId="1" xfId="0" applyNumberFormat="1" applyFont="1" applyBorder="1"/>
    <xf numFmtId="49" fontId="20" fillId="0" borderId="1" xfId="0" applyNumberFormat="1" applyFont="1" applyBorder="1" applyAlignment="1">
      <alignment wrapText="1"/>
    </xf>
    <xf numFmtId="49" fontId="20" fillId="0" borderId="6" xfId="0" applyNumberFormat="1" applyFont="1" applyBorder="1"/>
    <xf numFmtId="49" fontId="54" fillId="0" borderId="6" xfId="0" applyNumberFormat="1" applyFont="1" applyBorder="1" applyAlignment="1">
      <alignment wrapText="1"/>
    </xf>
    <xf numFmtId="4" fontId="20" fillId="0" borderId="6" xfId="0" applyNumberFormat="1" applyFont="1" applyBorder="1"/>
    <xf numFmtId="43" fontId="20" fillId="0" borderId="1" xfId="1" applyFont="1" applyBorder="1"/>
    <xf numFmtId="49" fontId="20" fillId="0" borderId="6" xfId="0" applyNumberFormat="1" applyFont="1" applyBorder="1" applyAlignment="1">
      <alignment wrapText="1"/>
    </xf>
    <xf numFmtId="43" fontId="20" fillId="0" borderId="6" xfId="1" applyFont="1" applyBorder="1"/>
    <xf numFmtId="49" fontId="24" fillId="5" borderId="1" xfId="0" applyNumberFormat="1" applyFont="1" applyFill="1" applyBorder="1" applyAlignment="1">
      <alignment horizontal="center" vertical="center" wrapText="1"/>
    </xf>
    <xf numFmtId="0" fontId="24" fillId="5" borderId="1" xfId="0" applyFont="1" applyFill="1" applyBorder="1" applyAlignment="1">
      <alignment horizontal="center" vertical="center" wrapText="1"/>
    </xf>
    <xf numFmtId="4" fontId="25" fillId="0" borderId="1" xfId="0" applyNumberFormat="1" applyFont="1" applyBorder="1"/>
    <xf numFmtId="49" fontId="25" fillId="0" borderId="1" xfId="0" applyNumberFormat="1" applyFont="1" applyBorder="1" applyAlignment="1">
      <alignment horizontal="right"/>
    </xf>
    <xf numFmtId="0" fontId="17" fillId="0" borderId="0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13" fillId="0" borderId="0" xfId="0" applyFont="1"/>
    <xf numFmtId="0" fontId="22" fillId="0" borderId="0" xfId="0" applyFont="1" applyBorder="1" applyAlignment="1"/>
    <xf numFmtId="0" fontId="22" fillId="0" borderId="0" xfId="0" applyFont="1" applyBorder="1" applyAlignment="1">
      <alignment horizontal="center"/>
    </xf>
    <xf numFmtId="43" fontId="17" fillId="0" borderId="21" xfId="0" applyNumberFormat="1" applyFont="1" applyBorder="1"/>
    <xf numFmtId="49" fontId="11" fillId="0" borderId="19" xfId="0" applyNumberFormat="1" applyFont="1" applyBorder="1"/>
    <xf numFmtId="43" fontId="13" fillId="0" borderId="19" xfId="0" applyNumberFormat="1" applyFont="1" applyBorder="1" applyAlignment="1">
      <alignment horizontal="center"/>
    </xf>
    <xf numFmtId="0" fontId="19" fillId="0" borderId="8" xfId="0" applyFont="1" applyBorder="1"/>
    <xf numFmtId="49" fontId="11" fillId="2" borderId="19" xfId="0" applyNumberFormat="1" applyFont="1" applyFill="1" applyBorder="1" applyAlignment="1">
      <alignment horizontal="center" wrapText="1"/>
    </xf>
    <xf numFmtId="49" fontId="36" fillId="2" borderId="19" xfId="0" applyNumberFormat="1" applyFont="1" applyFill="1" applyBorder="1" applyAlignment="1">
      <alignment horizontal="left" wrapText="1"/>
    </xf>
    <xf numFmtId="43" fontId="48" fillId="0" borderId="19" xfId="0" applyNumberFormat="1" applyFont="1" applyBorder="1" applyAlignment="1">
      <alignment horizontal="center"/>
    </xf>
    <xf numFmtId="0" fontId="11" fillId="0" borderId="6" xfId="0" applyFont="1" applyBorder="1" applyAlignment="1">
      <alignment horizontal="center" wrapText="1"/>
    </xf>
    <xf numFmtId="43" fontId="10" fillId="0" borderId="2" xfId="1" applyFont="1" applyBorder="1" applyAlignment="1">
      <alignment horizontal="center" wrapText="1"/>
    </xf>
    <xf numFmtId="0" fontId="10" fillId="0" borderId="5" xfId="0" applyFont="1" applyBorder="1" applyAlignment="1">
      <alignment horizontal="left" wrapText="1"/>
    </xf>
    <xf numFmtId="0" fontId="25" fillId="0" borderId="15" xfId="0" applyFont="1" applyBorder="1" applyAlignment="1">
      <alignment horizontal="center"/>
    </xf>
    <xf numFmtId="49" fontId="11" fillId="2" borderId="13" xfId="0" applyNumberFormat="1" applyFont="1" applyFill="1" applyBorder="1" applyAlignment="1">
      <alignment horizontal="center" wrapText="1"/>
    </xf>
    <xf numFmtId="0" fontId="18" fillId="0" borderId="13" xfId="0" applyFont="1" applyBorder="1" applyAlignment="1">
      <alignment horizontal="left" vertical="center" wrapText="1"/>
    </xf>
    <xf numFmtId="43" fontId="18" fillId="0" borderId="13" xfId="0" applyNumberFormat="1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18" fillId="0" borderId="5" xfId="0" applyFont="1" applyBorder="1" applyAlignment="1">
      <alignment horizont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right" wrapText="1"/>
    </xf>
    <xf numFmtId="43" fontId="11" fillId="2" borderId="1" xfId="1" applyFont="1" applyFill="1" applyBorder="1" applyAlignment="1">
      <alignment horizontal="right" vertical="center" wrapText="1"/>
    </xf>
    <xf numFmtId="0" fontId="11" fillId="0" borderId="1" xfId="0" applyFont="1" applyBorder="1" applyAlignment="1">
      <alignment vertical="top" wrapText="1"/>
    </xf>
    <xf numFmtId="0" fontId="12" fillId="2" borderId="1" xfId="0" applyFont="1" applyFill="1" applyBorder="1" applyAlignment="1">
      <alignment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43" fontId="12" fillId="2" borderId="1" xfId="1" applyFont="1" applyFill="1" applyBorder="1" applyAlignment="1">
      <alignment horizontal="right" wrapText="1"/>
    </xf>
    <xf numFmtId="0" fontId="12" fillId="0" borderId="1" xfId="0" applyFont="1" applyBorder="1" applyAlignment="1">
      <alignment wrapText="1"/>
    </xf>
    <xf numFmtId="0" fontId="18" fillId="2" borderId="1" xfId="0" applyFont="1" applyFill="1" applyBorder="1" applyAlignment="1">
      <alignment horizontal="right" vertical="center" wrapText="1"/>
    </xf>
    <xf numFmtId="43" fontId="25" fillId="0" borderId="1" xfId="1" applyFont="1" applyBorder="1"/>
    <xf numFmtId="0" fontId="27" fillId="0" borderId="6" xfId="0" applyFont="1" applyBorder="1" applyAlignment="1">
      <alignment horizontal="right"/>
    </xf>
    <xf numFmtId="0" fontId="11" fillId="0" borderId="6" xfId="0" applyFont="1" applyBorder="1" applyAlignment="1">
      <alignment horizontal="left" vertical="center" wrapText="1"/>
    </xf>
    <xf numFmtId="0" fontId="11" fillId="0" borderId="19" xfId="0" applyFont="1" applyBorder="1" applyAlignment="1">
      <alignment horizontal="left" vertical="center" wrapText="1"/>
    </xf>
    <xf numFmtId="0" fontId="20" fillId="0" borderId="4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17" fillId="0" borderId="0" xfId="0" applyFont="1" applyBorder="1" applyAlignment="1">
      <alignment horizontal="center"/>
    </xf>
    <xf numFmtId="164" fontId="20" fillId="0" borderId="12" xfId="0" applyNumberFormat="1" applyFont="1" applyBorder="1" applyAlignment="1">
      <alignment vertical="center"/>
    </xf>
    <xf numFmtId="4" fontId="21" fillId="0" borderId="5" xfId="0" applyNumberFormat="1" applyFont="1" applyBorder="1" applyAlignment="1">
      <alignment vertical="center"/>
    </xf>
    <xf numFmtId="43" fontId="20" fillId="0" borderId="5" xfId="1" applyFont="1" applyBorder="1" applyAlignment="1">
      <alignment vertical="center"/>
    </xf>
    <xf numFmtId="164" fontId="20" fillId="0" borderId="7" xfId="0" applyNumberFormat="1" applyFont="1" applyBorder="1" applyAlignment="1">
      <alignment vertical="center"/>
    </xf>
    <xf numFmtId="4" fontId="21" fillId="0" borderId="16" xfId="0" applyNumberFormat="1" applyFont="1" applyBorder="1" applyAlignment="1">
      <alignment vertical="center"/>
    </xf>
    <xf numFmtId="43" fontId="25" fillId="0" borderId="7" xfId="1" applyFont="1" applyBorder="1" applyAlignment="1">
      <alignment vertical="center"/>
    </xf>
    <xf numFmtId="164" fontId="20" fillId="0" borderId="0" xfId="0" applyNumberFormat="1" applyFont="1" applyBorder="1" applyAlignment="1">
      <alignment vertical="center"/>
    </xf>
    <xf numFmtId="4" fontId="21" fillId="0" borderId="0" xfId="0" applyNumberFormat="1" applyFont="1" applyBorder="1" applyAlignment="1">
      <alignment vertical="center"/>
    </xf>
    <xf numFmtId="43" fontId="25" fillId="0" borderId="0" xfId="1" applyFont="1" applyBorder="1" applyAlignment="1">
      <alignment vertical="center"/>
    </xf>
    <xf numFmtId="4" fontId="14" fillId="0" borderId="16" xfId="0" applyNumberFormat="1" applyFont="1" applyBorder="1" applyAlignment="1">
      <alignment vertical="center"/>
    </xf>
    <xf numFmtId="164" fontId="20" fillId="0" borderId="19" xfId="0" applyNumberFormat="1" applyFont="1" applyBorder="1" applyAlignment="1">
      <alignment vertical="center"/>
    </xf>
    <xf numFmtId="4" fontId="21" fillId="0" borderId="19" xfId="0" applyNumberFormat="1" applyFont="1" applyBorder="1" applyAlignment="1">
      <alignment vertical="center"/>
    </xf>
    <xf numFmtId="43" fontId="21" fillId="0" borderId="19" xfId="1" applyFont="1" applyBorder="1"/>
    <xf numFmtId="164" fontId="19" fillId="0" borderId="7" xfId="0" applyNumberFormat="1" applyFont="1" applyBorder="1"/>
    <xf numFmtId="4" fontId="15" fillId="0" borderId="7" xfId="0" applyNumberFormat="1" applyFont="1" applyBorder="1"/>
    <xf numFmtId="43" fontId="10" fillId="0" borderId="5" xfId="1" applyFont="1" applyBorder="1" applyAlignment="1">
      <alignment horizontal="center" wrapText="1"/>
    </xf>
    <xf numFmtId="0" fontId="36" fillId="2" borderId="1" xfId="0" applyFont="1" applyFill="1" applyBorder="1" applyAlignment="1">
      <alignment vertical="center" wrapText="1"/>
    </xf>
    <xf numFmtId="4" fontId="36" fillId="2" borderId="1" xfId="0" applyNumberFormat="1" applyFont="1" applyFill="1" applyBorder="1" applyAlignment="1">
      <alignment horizontal="right" vertical="center" wrapText="1"/>
    </xf>
    <xf numFmtId="0" fontId="36" fillId="2" borderId="1" xfId="0" applyFont="1" applyFill="1" applyBorder="1" applyAlignment="1">
      <alignment horizontal="right" vertical="center" wrapText="1"/>
    </xf>
    <xf numFmtId="0" fontId="15" fillId="6" borderId="1" xfId="0" applyFont="1" applyFill="1" applyBorder="1" applyAlignment="1">
      <alignment horizontal="center" wrapText="1"/>
    </xf>
    <xf numFmtId="0" fontId="15" fillId="6" borderId="1" xfId="0" applyFont="1" applyFill="1" applyBorder="1" applyAlignment="1">
      <alignment horizontal="center"/>
    </xf>
    <xf numFmtId="49" fontId="36" fillId="2" borderId="5" xfId="0" applyNumberFormat="1" applyFont="1" applyFill="1" applyBorder="1" applyAlignment="1">
      <alignment horizontal="center" vertical="center" wrapText="1"/>
    </xf>
    <xf numFmtId="0" fontId="36" fillId="2" borderId="5" xfId="0" applyFont="1" applyFill="1" applyBorder="1" applyAlignment="1">
      <alignment vertical="center" wrapText="1"/>
    </xf>
    <xf numFmtId="4" fontId="36" fillId="2" borderId="5" xfId="0" applyNumberFormat="1" applyFont="1" applyFill="1" applyBorder="1" applyAlignment="1">
      <alignment horizontal="right" vertical="center" wrapText="1"/>
    </xf>
    <xf numFmtId="3" fontId="36" fillId="2" borderId="1" xfId="0" applyNumberFormat="1" applyFont="1" applyFill="1" applyBorder="1" applyAlignment="1">
      <alignment horizontal="right" vertical="center" wrapText="1"/>
    </xf>
    <xf numFmtId="0" fontId="15" fillId="6" borderId="2" xfId="0" applyFont="1" applyFill="1" applyBorder="1" applyAlignment="1">
      <alignment horizontal="center" wrapText="1"/>
    </xf>
    <xf numFmtId="43" fontId="10" fillId="0" borderId="2" xfId="1" applyFont="1" applyBorder="1" applyAlignment="1">
      <alignment horizontal="center"/>
    </xf>
    <xf numFmtId="43" fontId="17" fillId="0" borderId="11" xfId="0" applyNumberFormat="1" applyFont="1" applyBorder="1"/>
    <xf numFmtId="0" fontId="10" fillId="0" borderId="1" xfId="0" applyFont="1" applyBorder="1"/>
    <xf numFmtId="43" fontId="10" fillId="0" borderId="12" xfId="1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0" fillId="0" borderId="5" xfId="0" applyBorder="1"/>
    <xf numFmtId="0" fontId="10" fillId="0" borderId="5" xfId="0" applyFont="1" applyBorder="1"/>
    <xf numFmtId="43" fontId="15" fillId="0" borderId="28" xfId="0" applyNumberFormat="1" applyFont="1" applyBorder="1"/>
    <xf numFmtId="0" fontId="0" fillId="0" borderId="29" xfId="0" applyBorder="1"/>
    <xf numFmtId="43" fontId="17" fillId="0" borderId="7" xfId="0" applyNumberFormat="1" applyFont="1" applyBorder="1"/>
    <xf numFmtId="0" fontId="10" fillId="0" borderId="27" xfId="0" applyFont="1" applyBorder="1"/>
    <xf numFmtId="0" fontId="0" fillId="0" borderId="7" xfId="0" applyBorder="1"/>
    <xf numFmtId="43" fontId="0" fillId="0" borderId="0" xfId="0" applyNumberFormat="1" applyAlignment="1">
      <alignment horizontal="center"/>
    </xf>
    <xf numFmtId="43" fontId="0" fillId="0" borderId="0" xfId="1" applyFont="1" applyAlignment="1">
      <alignment horizontal="center"/>
    </xf>
    <xf numFmtId="0" fontId="12" fillId="0" borderId="5" xfId="0" applyFont="1" applyBorder="1" applyAlignment="1">
      <alignment wrapText="1"/>
    </xf>
    <xf numFmtId="43" fontId="12" fillId="0" borderId="6" xfId="0" applyNumberFormat="1" applyFont="1" applyBorder="1" applyAlignment="1">
      <alignment horizontal="center"/>
    </xf>
    <xf numFmtId="43" fontId="12" fillId="0" borderId="19" xfId="0" applyNumberFormat="1" applyFont="1" applyBorder="1" applyAlignment="1">
      <alignment horizontal="center"/>
    </xf>
    <xf numFmtId="43" fontId="35" fillId="0" borderId="0" xfId="0" applyNumberFormat="1" applyFont="1"/>
    <xf numFmtId="49" fontId="13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43" fontId="13" fillId="2" borderId="1" xfId="1" applyFont="1" applyFill="1" applyBorder="1" applyAlignment="1">
      <alignment horizontal="right" vertical="center" wrapText="1"/>
    </xf>
    <xf numFmtId="43" fontId="12" fillId="2" borderId="3" xfId="1" applyFont="1" applyFill="1" applyBorder="1" applyAlignment="1">
      <alignment horizontal="right" wrapText="1"/>
    </xf>
    <xf numFmtId="43" fontId="13" fillId="0" borderId="1" xfId="1" applyFont="1" applyBorder="1"/>
    <xf numFmtId="49" fontId="36" fillId="2" borderId="6" xfId="0" applyNumberFormat="1" applyFont="1" applyFill="1" applyBorder="1" applyAlignment="1">
      <alignment horizontal="left" wrapText="1"/>
    </xf>
    <xf numFmtId="43" fontId="13" fillId="0" borderId="6" xfId="0" applyNumberFormat="1" applyFont="1" applyBorder="1" applyAlignment="1">
      <alignment horizontal="center"/>
    </xf>
    <xf numFmtId="0" fontId="19" fillId="0" borderId="0" xfId="0" applyFont="1" applyBorder="1"/>
    <xf numFmtId="0" fontId="20" fillId="0" borderId="0" xfId="0" applyFont="1" applyBorder="1" applyAlignment="1">
      <alignment wrapText="1"/>
    </xf>
    <xf numFmtId="0" fontId="29" fillId="0" borderId="0" xfId="0" applyFont="1" applyBorder="1"/>
    <xf numFmtId="1" fontId="10" fillId="0" borderId="0" xfId="0" applyNumberFormat="1" applyFont="1" applyBorder="1" applyAlignment="1">
      <alignment horizontal="right"/>
    </xf>
    <xf numFmtId="0" fontId="18" fillId="0" borderId="0" xfId="0" applyFont="1" applyBorder="1" applyAlignment="1">
      <alignment vertical="center" wrapText="1"/>
    </xf>
    <xf numFmtId="43" fontId="10" fillId="0" borderId="0" xfId="0" applyNumberFormat="1" applyFont="1" applyBorder="1"/>
    <xf numFmtId="0" fontId="25" fillId="0" borderId="0" xfId="0" applyFont="1" applyBorder="1" applyAlignment="1">
      <alignment horizontal="center"/>
    </xf>
    <xf numFmtId="0" fontId="18" fillId="0" borderId="0" xfId="0" applyFont="1" applyBorder="1" applyAlignment="1">
      <alignment horizontal="left" wrapText="1"/>
    </xf>
    <xf numFmtId="49" fontId="25" fillId="0" borderId="0" xfId="0" applyNumberFormat="1" applyFont="1" applyBorder="1" applyAlignment="1">
      <alignment horizontal="center" wrapText="1"/>
    </xf>
    <xf numFmtId="49" fontId="25" fillId="0" borderId="0" xfId="0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center"/>
    </xf>
    <xf numFmtId="0" fontId="36" fillId="0" borderId="5" xfId="0" applyFont="1" applyBorder="1"/>
    <xf numFmtId="49" fontId="11" fillId="0" borderId="1" xfId="1" applyNumberFormat="1" applyFont="1" applyBorder="1" applyAlignment="1">
      <alignment horizontal="center"/>
    </xf>
    <xf numFmtId="43" fontId="5" fillId="0" borderId="0" xfId="1" applyFont="1"/>
    <xf numFmtId="43" fontId="19" fillId="0" borderId="0" xfId="0" applyNumberFormat="1" applyFont="1"/>
    <xf numFmtId="49" fontId="53" fillId="0" borderId="6" xfId="0" applyNumberFormat="1" applyFont="1" applyBorder="1"/>
    <xf numFmtId="49" fontId="53" fillId="0" borderId="0" xfId="0" applyNumberFormat="1" applyFont="1" applyBorder="1"/>
    <xf numFmtId="49" fontId="53" fillId="0" borderId="0" xfId="0" applyNumberFormat="1" applyFont="1" applyBorder="1" applyAlignment="1">
      <alignment horizontal="right" wrapText="1"/>
    </xf>
    <xf numFmtId="49" fontId="19" fillId="0" borderId="0" xfId="0" applyNumberFormat="1" applyFont="1" applyBorder="1"/>
    <xf numFmtId="49" fontId="54" fillId="0" borderId="0" xfId="0" applyNumberFormat="1" applyFont="1" applyBorder="1" applyAlignment="1">
      <alignment horizontal="right" wrapText="1"/>
    </xf>
    <xf numFmtId="49" fontId="54" fillId="0" borderId="6" xfId="0" applyNumberFormat="1" applyFont="1" applyBorder="1"/>
    <xf numFmtId="49" fontId="54" fillId="0" borderId="0" xfId="0" applyNumberFormat="1" applyFont="1" applyBorder="1"/>
    <xf numFmtId="49" fontId="19" fillId="0" borderId="0" xfId="0" applyNumberFormat="1" applyFont="1" applyBorder="1" applyAlignment="1">
      <alignment horizontal="right" wrapText="1"/>
    </xf>
    <xf numFmtId="49" fontId="20" fillId="0" borderId="0" xfId="0" applyNumberFormat="1" applyFont="1" applyAlignment="1">
      <alignment horizontal="right"/>
    </xf>
    <xf numFmtId="49" fontId="20" fillId="0" borderId="0" xfId="0" applyNumberFormat="1" applyFont="1" applyBorder="1"/>
    <xf numFmtId="4" fontId="20" fillId="0" borderId="0" xfId="0" applyNumberFormat="1" applyFont="1" applyBorder="1"/>
    <xf numFmtId="49" fontId="20" fillId="0" borderId="0" xfId="0" applyNumberFormat="1" applyFont="1" applyBorder="1" applyAlignment="1">
      <alignment horizontal="right" wrapText="1"/>
    </xf>
    <xf numFmtId="43" fontId="20" fillId="0" borderId="0" xfId="1" applyFont="1" applyBorder="1"/>
    <xf numFmtId="0" fontId="17" fillId="0" borderId="0" xfId="0" applyFont="1" applyBorder="1" applyAlignment="1">
      <alignment horizontal="center"/>
    </xf>
    <xf numFmtId="4" fontId="56" fillId="0" borderId="1" xfId="0" applyNumberFormat="1" applyFont="1" applyBorder="1" applyAlignment="1">
      <alignment vertical="center"/>
    </xf>
    <xf numFmtId="166" fontId="11" fillId="0" borderId="1" xfId="1" applyNumberFormat="1" applyFont="1" applyBorder="1" applyAlignment="1">
      <alignment horizontal="right" wrapText="1"/>
    </xf>
    <xf numFmtId="166" fontId="11" fillId="0" borderId="5" xfId="1" applyNumberFormat="1" applyFont="1" applyBorder="1" applyAlignment="1">
      <alignment horizontal="right" wrapText="1"/>
    </xf>
    <xf numFmtId="43" fontId="11" fillId="0" borderId="5" xfId="1" applyFont="1" applyBorder="1" applyAlignment="1">
      <alignment horizontal="right" wrapText="1"/>
    </xf>
    <xf numFmtId="0" fontId="36" fillId="0" borderId="0" xfId="0" applyFont="1" applyAlignment="1">
      <alignment horizontal="left" wrapText="1"/>
    </xf>
    <xf numFmtId="49" fontId="44" fillId="0" borderId="5" xfId="0" applyNumberFormat="1" applyFont="1" applyBorder="1" applyAlignment="1">
      <alignment horizontal="center"/>
    </xf>
    <xf numFmtId="0" fontId="11" fillId="0" borderId="1" xfId="0" applyFont="1" applyBorder="1" applyAlignment="1">
      <alignment vertical="center" wrapText="1"/>
    </xf>
    <xf numFmtId="0" fontId="57" fillId="2" borderId="1" xfId="0" applyFont="1" applyFill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57" fillId="3" borderId="1" xfId="0" applyFont="1" applyFill="1" applyBorder="1" applyAlignment="1">
      <alignment vertical="center" wrapText="1"/>
    </xf>
    <xf numFmtId="0" fontId="57" fillId="0" borderId="1" xfId="0" applyFont="1" applyFill="1" applyBorder="1" applyAlignment="1">
      <alignment vertical="center" wrapText="1"/>
    </xf>
    <xf numFmtId="0" fontId="12" fillId="0" borderId="2" xfId="0" applyFont="1" applyBorder="1" applyAlignment="1">
      <alignment wrapText="1"/>
    </xf>
    <xf numFmtId="0" fontId="10" fillId="2" borderId="1" xfId="0" applyFont="1" applyFill="1" applyBorder="1" applyAlignment="1">
      <alignment horizontal="right" vertical="center" wrapText="1"/>
    </xf>
    <xf numFmtId="4" fontId="58" fillId="0" borderId="1" xfId="0" applyNumberFormat="1" applyFont="1" applyBorder="1"/>
    <xf numFmtId="0" fontId="19" fillId="0" borderId="26" xfId="0" applyFont="1" applyBorder="1"/>
    <xf numFmtId="0" fontId="19" fillId="0" borderId="11" xfId="0" applyFont="1" applyBorder="1"/>
    <xf numFmtId="49" fontId="19" fillId="0" borderId="16" xfId="0" applyNumberFormat="1" applyFont="1" applyBorder="1"/>
    <xf numFmtId="0" fontId="17" fillId="0" borderId="4" xfId="0" applyFont="1" applyBorder="1" applyAlignment="1">
      <alignment vertical="center" wrapText="1"/>
    </xf>
    <xf numFmtId="43" fontId="17" fillId="0" borderId="11" xfId="1" applyFont="1" applyBorder="1"/>
    <xf numFmtId="0" fontId="18" fillId="0" borderId="0" xfId="0" applyFont="1" applyBorder="1" applyAlignment="1">
      <alignment horizontal="left" vertical="center" wrapText="1"/>
    </xf>
    <xf numFmtId="43" fontId="18" fillId="0" borderId="0" xfId="0" applyNumberFormat="1" applyFont="1" applyBorder="1" applyAlignment="1">
      <alignment horizontal="center"/>
    </xf>
    <xf numFmtId="43" fontId="59" fillId="0" borderId="6" xfId="1" applyFont="1" applyBorder="1"/>
    <xf numFmtId="43" fontId="56" fillId="0" borderId="1" xfId="1" applyFont="1" applyBorder="1" applyAlignment="1">
      <alignment vertical="center"/>
    </xf>
    <xf numFmtId="43" fontId="56" fillId="0" borderId="6" xfId="1" applyFont="1" applyBorder="1" applyAlignment="1">
      <alignment horizontal="right"/>
    </xf>
    <xf numFmtId="4" fontId="56" fillId="0" borderId="1" xfId="0" applyNumberFormat="1" applyFont="1" applyBorder="1" applyAlignment="1">
      <alignment horizontal="right"/>
    </xf>
    <xf numFmtId="4" fontId="59" fillId="0" borderId="6" xfId="0" applyNumberFormat="1" applyFont="1" applyBorder="1" applyAlignment="1">
      <alignment vertical="center"/>
    </xf>
    <xf numFmtId="4" fontId="59" fillId="0" borderId="1" xfId="0" applyNumberFormat="1" applyFont="1" applyBorder="1" applyAlignment="1">
      <alignment vertical="center"/>
    </xf>
    <xf numFmtId="164" fontId="56" fillId="0" borderId="0" xfId="0" applyNumberFormat="1" applyFont="1" applyBorder="1"/>
    <xf numFmtId="4" fontId="56" fillId="0" borderId="0" xfId="0" applyNumberFormat="1" applyFont="1" applyBorder="1"/>
    <xf numFmtId="4" fontId="0" fillId="0" borderId="0" xfId="0" applyNumberFormat="1" applyFont="1"/>
    <xf numFmtId="164" fontId="56" fillId="0" borderId="7" xfId="0" applyNumberFormat="1" applyFont="1" applyBorder="1" applyAlignment="1">
      <alignment vertical="center"/>
    </xf>
    <xf numFmtId="4" fontId="56" fillId="0" borderId="16" xfId="0" applyNumberFormat="1" applyFont="1" applyBorder="1" applyAlignment="1">
      <alignment horizontal="center" vertical="center"/>
    </xf>
    <xf numFmtId="4" fontId="56" fillId="0" borderId="7" xfId="0" applyNumberFormat="1" applyFont="1" applyBorder="1" applyAlignment="1">
      <alignment horizontal="center" vertical="center"/>
    </xf>
    <xf numFmtId="43" fontId="59" fillId="0" borderId="6" xfId="1" applyFont="1" applyBorder="1" applyAlignment="1">
      <alignment horizontal="right"/>
    </xf>
    <xf numFmtId="4" fontId="55" fillId="0" borderId="1" xfId="0" applyNumberFormat="1" applyFont="1" applyBorder="1"/>
    <xf numFmtId="43" fontId="55" fillId="0" borderId="1" xfId="1" applyFont="1" applyBorder="1"/>
    <xf numFmtId="43" fontId="55" fillId="0" borderId="0" xfId="1" applyFont="1" applyBorder="1"/>
    <xf numFmtId="4" fontId="55" fillId="0" borderId="0" xfId="0" applyNumberFormat="1" applyFont="1" applyBorder="1"/>
    <xf numFmtId="4" fontId="55" fillId="0" borderId="6" xfId="0" applyNumberFormat="1" applyFont="1" applyBorder="1"/>
    <xf numFmtId="43" fontId="21" fillId="0" borderId="6" xfId="1" applyFont="1" applyBorder="1"/>
    <xf numFmtId="4" fontId="21" fillId="0" borderId="6" xfId="0" applyNumberFormat="1" applyFont="1" applyBorder="1"/>
    <xf numFmtId="43" fontId="21" fillId="0" borderId="1" xfId="1" applyFont="1" applyBorder="1"/>
    <xf numFmtId="43" fontId="21" fillId="0" borderId="0" xfId="1" applyFont="1" applyBorder="1"/>
    <xf numFmtId="4" fontId="21" fillId="0" borderId="0" xfId="0" applyNumberFormat="1" applyFont="1" applyBorder="1"/>
    <xf numFmtId="43" fontId="58" fillId="0" borderId="1" xfId="1" applyFont="1" applyBorder="1"/>
    <xf numFmtId="4" fontId="58" fillId="0" borderId="0" xfId="0" applyNumberFormat="1" applyFont="1" applyBorder="1"/>
    <xf numFmtId="43" fontId="58" fillId="0" borderId="6" xfId="1" applyFont="1" applyBorder="1"/>
    <xf numFmtId="4" fontId="58" fillId="0" borderId="6" xfId="0" applyNumberFormat="1" applyFont="1" applyBorder="1"/>
    <xf numFmtId="0" fontId="21" fillId="0" borderId="1" xfId="0" applyFont="1" applyBorder="1"/>
    <xf numFmtId="0" fontId="21" fillId="0" borderId="5" xfId="0" applyFont="1" applyBorder="1"/>
    <xf numFmtId="4" fontId="21" fillId="0" borderId="5" xfId="0" applyNumberFormat="1" applyFont="1" applyBorder="1"/>
    <xf numFmtId="49" fontId="58" fillId="0" borderId="1" xfId="0" applyNumberFormat="1" applyFont="1" applyBorder="1"/>
    <xf numFmtId="49" fontId="58" fillId="0" borderId="1" xfId="0" applyNumberFormat="1" applyFont="1" applyBorder="1" applyAlignment="1">
      <alignment wrapText="1"/>
    </xf>
    <xf numFmtId="4" fontId="59" fillId="0" borderId="1" xfId="0" applyNumberFormat="1" applyFont="1" applyBorder="1"/>
    <xf numFmtId="4" fontId="59" fillId="0" borderId="0" xfId="0" applyNumberFormat="1" applyFont="1" applyBorder="1"/>
    <xf numFmtId="4" fontId="59" fillId="0" borderId="6" xfId="0" applyNumberFormat="1" applyFont="1" applyBorder="1"/>
    <xf numFmtId="43" fontId="59" fillId="0" borderId="1" xfId="1" applyFont="1" applyBorder="1"/>
    <xf numFmtId="43" fontId="59" fillId="0" borderId="0" xfId="1" applyFont="1" applyBorder="1"/>
    <xf numFmtId="0" fontId="12" fillId="0" borderId="0" xfId="0" applyFont="1"/>
    <xf numFmtId="0" fontId="17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20" fillId="0" borderId="0" xfId="0" applyFont="1" applyBorder="1"/>
    <xf numFmtId="0" fontId="20" fillId="0" borderId="0" xfId="0" applyFont="1" applyBorder="1" applyAlignment="1">
      <alignment horizontal="center"/>
    </xf>
    <xf numFmtId="4" fontId="17" fillId="2" borderId="1" xfId="0" applyNumberFormat="1" applyFont="1" applyFill="1" applyBorder="1" applyAlignment="1">
      <alignment horizontal="right" wrapText="1"/>
    </xf>
    <xf numFmtId="43" fontId="18" fillId="2" borderId="3" xfId="1" applyFont="1" applyFill="1" applyBorder="1" applyAlignment="1">
      <alignment horizontal="right" wrapText="1"/>
    </xf>
    <xf numFmtId="0" fontId="17" fillId="0" borderId="1" xfId="0" applyFont="1" applyBorder="1" applyAlignment="1">
      <alignment horizontal="center" vertical="center" wrapText="1"/>
    </xf>
    <xf numFmtId="0" fontId="20" fillId="0" borderId="5" xfId="0" applyFont="1" applyBorder="1" applyAlignment="1">
      <alignment wrapText="1"/>
    </xf>
    <xf numFmtId="1" fontId="10" fillId="0" borderId="5" xfId="0" applyNumberFormat="1" applyFont="1" applyBorder="1" applyAlignment="1">
      <alignment horizontal="right"/>
    </xf>
    <xf numFmtId="43" fontId="17" fillId="0" borderId="5" xfId="0" applyNumberFormat="1" applyFont="1" applyBorder="1"/>
    <xf numFmtId="49" fontId="18" fillId="0" borderId="0" xfId="0" applyNumberFormat="1" applyFont="1" applyBorder="1" applyAlignment="1">
      <alignment horizontal="center"/>
    </xf>
    <xf numFmtId="43" fontId="30" fillId="0" borderId="0" xfId="1" applyFont="1" applyBorder="1" applyAlignment="1">
      <alignment horizontal="center"/>
    </xf>
    <xf numFmtId="4" fontId="14" fillId="0" borderId="0" xfId="0" applyNumberFormat="1" applyFont="1" applyBorder="1" applyAlignment="1">
      <alignment horizontal="center" vertical="center" wrapText="1"/>
    </xf>
    <xf numFmtId="1" fontId="14" fillId="0" borderId="0" xfId="0" applyNumberFormat="1" applyFont="1" applyBorder="1" applyAlignment="1">
      <alignment horizontal="center" vertical="center" wrapText="1"/>
    </xf>
    <xf numFmtId="4" fontId="6" fillId="0" borderId="0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25" fillId="2" borderId="25" xfId="0" applyFont="1" applyFill="1" applyBorder="1" applyAlignment="1">
      <alignment horizontal="right" vertical="center" wrapText="1"/>
    </xf>
    <xf numFmtId="0" fontId="25" fillId="2" borderId="20" xfId="0" applyFont="1" applyFill="1" applyBorder="1" applyAlignment="1">
      <alignment horizontal="right" vertical="center" wrapText="1"/>
    </xf>
    <xf numFmtId="0" fontId="25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25" fillId="0" borderId="26" xfId="0" applyFont="1" applyBorder="1" applyAlignment="1">
      <alignment horizontal="right"/>
    </xf>
    <xf numFmtId="0" fontId="25" fillId="0" borderId="16" xfId="0" applyFont="1" applyBorder="1" applyAlignment="1">
      <alignment horizontal="right"/>
    </xf>
    <xf numFmtId="0" fontId="25" fillId="0" borderId="2" xfId="0" applyFont="1" applyBorder="1" applyAlignment="1">
      <alignment horizontal="left"/>
    </xf>
    <xf numFmtId="0" fontId="25" fillId="0" borderId="18" xfId="0" applyFont="1" applyBorder="1" applyAlignment="1">
      <alignment horizontal="left"/>
    </xf>
    <xf numFmtId="0" fontId="25" fillId="0" borderId="3" xfId="0" applyFont="1" applyBorder="1" applyAlignment="1">
      <alignment horizontal="left"/>
    </xf>
    <xf numFmtId="0" fontId="25" fillId="0" borderId="9" xfId="0" applyFont="1" applyBorder="1" applyAlignment="1">
      <alignment horizontal="left"/>
    </xf>
    <xf numFmtId="4" fontId="56" fillId="0" borderId="0" xfId="0" applyNumberFormat="1" applyFont="1" applyBorder="1" applyAlignment="1">
      <alignment horizontal="center" vertical="center" wrapText="1"/>
    </xf>
    <xf numFmtId="1" fontId="56" fillId="0" borderId="0" xfId="0" applyNumberFormat="1" applyFont="1" applyBorder="1" applyAlignment="1">
      <alignment horizontal="center" vertical="center" wrapText="1"/>
    </xf>
    <xf numFmtId="164" fontId="14" fillId="0" borderId="20" xfId="0" applyNumberFormat="1" applyFont="1" applyBorder="1" applyAlignment="1">
      <alignment horizontal="left" vertical="center"/>
    </xf>
    <xf numFmtId="0" fontId="21" fillId="0" borderId="0" xfId="0" applyNumberFormat="1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5" fillId="0" borderId="9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49" fontId="25" fillId="0" borderId="9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52" fillId="0" borderId="0" xfId="0" applyFont="1" applyAlignment="1">
      <alignment horizontal="center"/>
    </xf>
    <xf numFmtId="0" fontId="49" fillId="0" borderId="0" xfId="0" applyFont="1" applyAlignment="1">
      <alignment horizontal="center"/>
    </xf>
    <xf numFmtId="0" fontId="52" fillId="0" borderId="0" xfId="0" applyFont="1" applyBorder="1" applyAlignment="1">
      <alignment horizontal="center"/>
    </xf>
    <xf numFmtId="0" fontId="52" fillId="0" borderId="9" xfId="0" applyFont="1" applyBorder="1" applyAlignment="1">
      <alignment horizontal="center"/>
    </xf>
    <xf numFmtId="0" fontId="41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4"/>
  <sheetViews>
    <sheetView workbookViewId="0">
      <selection activeCell="E3" sqref="E3"/>
    </sheetView>
  </sheetViews>
  <sheetFormatPr defaultRowHeight="15" x14ac:dyDescent="0.25"/>
  <cols>
    <col min="1" max="1" width="5.7109375" style="9" customWidth="1"/>
    <col min="2" max="2" width="65.85546875" customWidth="1"/>
    <col min="3" max="3" width="32.7109375" customWidth="1"/>
    <col min="5" max="5" width="18" bestFit="1" customWidth="1"/>
    <col min="8" max="8" width="16.85546875" bestFit="1" customWidth="1"/>
  </cols>
  <sheetData>
    <row r="1" spans="1:8" ht="27.75" customHeight="1" x14ac:dyDescent="0.25">
      <c r="A1" s="653" t="s">
        <v>7</v>
      </c>
      <c r="B1" s="653"/>
      <c r="C1" s="653"/>
      <c r="D1" s="653"/>
    </row>
    <row r="2" spans="1:8" ht="30" customHeight="1" x14ac:dyDescent="0.25">
      <c r="A2" s="654" t="s">
        <v>1474</v>
      </c>
      <c r="B2" s="654"/>
      <c r="C2" s="654"/>
      <c r="D2" s="654"/>
    </row>
    <row r="3" spans="1:8" ht="22.5" customHeight="1" thickBot="1" x14ac:dyDescent="0.3">
      <c r="A3" s="74" t="s">
        <v>1332</v>
      </c>
      <c r="B3" s="75"/>
      <c r="C3" s="75"/>
      <c r="D3" s="10"/>
    </row>
    <row r="4" spans="1:8" ht="27" customHeight="1" thickBot="1" x14ac:dyDescent="0.3">
      <c r="A4" s="76" t="s">
        <v>0</v>
      </c>
      <c r="B4" s="413" t="s">
        <v>1246</v>
      </c>
      <c r="C4" s="414" t="s">
        <v>10</v>
      </c>
      <c r="D4" s="10"/>
    </row>
    <row r="5" spans="1:8" ht="30" customHeight="1" x14ac:dyDescent="0.25">
      <c r="A5" s="196">
        <v>1</v>
      </c>
      <c r="B5" s="78" t="s">
        <v>1247</v>
      </c>
      <c r="C5" s="412">
        <f>'Revenue Details'!E45</f>
        <v>4000000000</v>
      </c>
      <c r="D5" s="10"/>
    </row>
    <row r="6" spans="1:8" ht="27" customHeight="1" thickBot="1" x14ac:dyDescent="0.3">
      <c r="A6" s="502">
        <v>2</v>
      </c>
      <c r="B6" s="503" t="s">
        <v>238</v>
      </c>
      <c r="C6" s="504">
        <f>'Revenue Details'!E22</f>
        <v>2250000000</v>
      </c>
      <c r="D6" s="10"/>
      <c r="H6" s="4"/>
    </row>
    <row r="7" spans="1:8" ht="27" customHeight="1" thickBot="1" x14ac:dyDescent="0.3">
      <c r="A7" s="505">
        <v>3</v>
      </c>
      <c r="B7" s="511" t="s">
        <v>1248</v>
      </c>
      <c r="C7" s="507">
        <f>SUM(C5:C6)</f>
        <v>6250000000</v>
      </c>
      <c r="D7" s="10"/>
    </row>
    <row r="8" spans="1:8" ht="27" customHeight="1" x14ac:dyDescent="0.25">
      <c r="A8" s="508"/>
      <c r="B8" s="509"/>
      <c r="C8" s="510"/>
      <c r="D8" s="10"/>
    </row>
    <row r="9" spans="1:8" ht="27" customHeight="1" x14ac:dyDescent="0.25">
      <c r="A9" s="508"/>
      <c r="B9" s="509"/>
      <c r="C9" s="510"/>
      <c r="D9" s="10"/>
    </row>
    <row r="10" spans="1:8" ht="27" customHeight="1" x14ac:dyDescent="0.25">
      <c r="A10" s="508"/>
      <c r="B10" s="509"/>
      <c r="C10" s="510"/>
      <c r="D10" s="10"/>
    </row>
    <row r="11" spans="1:8" ht="27" customHeight="1" x14ac:dyDescent="0.25">
      <c r="A11" s="508"/>
      <c r="B11" s="509"/>
      <c r="C11" s="510"/>
      <c r="D11" s="10"/>
    </row>
    <row r="12" spans="1:8" ht="23.25" customHeight="1" thickBot="1" x14ac:dyDescent="0.3">
      <c r="A12" s="74" t="s">
        <v>1333</v>
      </c>
      <c r="B12" s="75"/>
      <c r="C12" s="75"/>
      <c r="D12" s="10"/>
    </row>
    <row r="13" spans="1:8" ht="27.75" customHeight="1" thickBot="1" x14ac:dyDescent="0.3">
      <c r="A13" s="76" t="s">
        <v>0</v>
      </c>
      <c r="B13" s="414" t="s">
        <v>1249</v>
      </c>
      <c r="C13" s="414" t="s">
        <v>10</v>
      </c>
      <c r="D13" s="10"/>
      <c r="H13" s="4"/>
    </row>
    <row r="14" spans="1:8" ht="27" customHeight="1" thickBot="1" x14ac:dyDescent="0.3">
      <c r="A14" s="512">
        <v>1</v>
      </c>
      <c r="B14" s="513" t="s">
        <v>238</v>
      </c>
      <c r="C14" s="514">
        <f>'Revenue Details'!E24</f>
        <v>6250000000</v>
      </c>
      <c r="D14" s="10"/>
    </row>
    <row r="15" spans="1:8" ht="15.75" thickBot="1" x14ac:dyDescent="0.3">
      <c r="A15" s="515">
        <v>2</v>
      </c>
      <c r="B15" s="506" t="s">
        <v>1250</v>
      </c>
      <c r="C15" s="516">
        <f>SUM(C14)</f>
        <v>6250000000</v>
      </c>
      <c r="D15" s="10"/>
    </row>
    <row r="16" spans="1:8" x14ac:dyDescent="0.25">
      <c r="A16" s="7"/>
      <c r="B16" s="8"/>
      <c r="C16" s="8"/>
      <c r="D16" s="10"/>
      <c r="E16" s="3"/>
    </row>
    <row r="17" spans="1:4" x14ac:dyDescent="0.25">
      <c r="A17" s="204"/>
      <c r="B17" s="205"/>
      <c r="C17" s="206"/>
      <c r="D17" s="10"/>
    </row>
    <row r="18" spans="1:4" x14ac:dyDescent="0.25">
      <c r="A18" s="13"/>
      <c r="B18" s="205"/>
      <c r="C18" s="14"/>
      <c r="D18" s="10"/>
    </row>
    <row r="19" spans="1:4" x14ac:dyDescent="0.25">
      <c r="A19" s="13"/>
      <c r="B19" s="5"/>
      <c r="C19" s="5"/>
    </row>
    <row r="21" spans="1:4" x14ac:dyDescent="0.25">
      <c r="A21" s="657">
        <v>1</v>
      </c>
      <c r="B21" s="657"/>
      <c r="C21" s="657"/>
    </row>
    <row r="22" spans="1:4" ht="23.25" customHeight="1" x14ac:dyDescent="0.25">
      <c r="A22" s="655"/>
      <c r="B22" s="655"/>
      <c r="C22" s="655"/>
    </row>
    <row r="23" spans="1:4" ht="23.25" customHeight="1" x14ac:dyDescent="0.25">
      <c r="A23" s="656"/>
      <c r="B23" s="656"/>
      <c r="C23" s="656"/>
    </row>
    <row r="24" spans="1:4" ht="21.75" customHeight="1" x14ac:dyDescent="0.25">
      <c r="A24" s="7"/>
      <c r="B24" s="8"/>
      <c r="C24" s="8"/>
    </row>
    <row r="25" spans="1:4" ht="30" customHeight="1" x14ac:dyDescent="0.25">
      <c r="A25" s="16"/>
      <c r="B25" s="17"/>
      <c r="C25" s="17"/>
    </row>
    <row r="26" spans="1:4" ht="29.25" customHeight="1" x14ac:dyDescent="0.25">
      <c r="A26" s="11"/>
      <c r="B26" s="18"/>
      <c r="C26" s="19"/>
    </row>
    <row r="27" spans="1:4" ht="26.25" customHeight="1" x14ac:dyDescent="0.25">
      <c r="A27" s="11"/>
      <c r="B27" s="18"/>
      <c r="C27" s="20"/>
    </row>
    <row r="28" spans="1:4" ht="26.25" customHeight="1" x14ac:dyDescent="0.25">
      <c r="A28" s="11"/>
      <c r="B28" s="18"/>
      <c r="C28" s="21"/>
    </row>
    <row r="29" spans="1:4" ht="26.25" customHeight="1" x14ac:dyDescent="0.25">
      <c r="A29" s="16"/>
      <c r="B29" s="12"/>
      <c r="C29" s="12"/>
    </row>
    <row r="30" spans="1:4" x14ac:dyDescent="0.25">
      <c r="A30" s="11"/>
      <c r="B30" s="18"/>
      <c r="C30" s="12"/>
    </row>
    <row r="31" spans="1:4" x14ac:dyDescent="0.25">
      <c r="A31" s="13"/>
      <c r="B31" s="14"/>
      <c r="C31" s="15"/>
    </row>
    <row r="32" spans="1:4" x14ac:dyDescent="0.25">
      <c r="A32" s="13"/>
      <c r="B32" s="22"/>
      <c r="C32" s="5"/>
    </row>
    <row r="33" spans="2:4" x14ac:dyDescent="0.25">
      <c r="B33" s="23"/>
    </row>
    <row r="34" spans="2:4" x14ac:dyDescent="0.25">
      <c r="C34" s="10"/>
    </row>
    <row r="35" spans="2:4" x14ac:dyDescent="0.25">
      <c r="C35" s="10"/>
    </row>
    <row r="36" spans="2:4" x14ac:dyDescent="0.25">
      <c r="C36" s="10"/>
    </row>
    <row r="37" spans="2:4" x14ac:dyDescent="0.25">
      <c r="C37" s="10"/>
    </row>
    <row r="38" spans="2:4" x14ac:dyDescent="0.25">
      <c r="C38" s="10"/>
    </row>
    <row r="39" spans="2:4" x14ac:dyDescent="0.25">
      <c r="C39" s="10"/>
      <c r="D39" s="24"/>
    </row>
    <row r="40" spans="2:4" x14ac:dyDescent="0.25">
      <c r="C40" s="10"/>
      <c r="D40" s="24"/>
    </row>
    <row r="41" spans="2:4" x14ac:dyDescent="0.25">
      <c r="C41" s="10"/>
      <c r="D41" s="24"/>
    </row>
    <row r="42" spans="2:4" x14ac:dyDescent="0.25">
      <c r="C42" s="10"/>
      <c r="D42" s="24"/>
    </row>
    <row r="43" spans="2:4" x14ac:dyDescent="0.25">
      <c r="C43" s="10"/>
      <c r="D43" s="24"/>
    </row>
    <row r="44" spans="2:4" ht="25.5" customHeight="1" x14ac:dyDescent="0.25">
      <c r="C44" s="10"/>
      <c r="D44" s="24"/>
    </row>
    <row r="45" spans="2:4" ht="27" customHeight="1" x14ac:dyDescent="0.25">
      <c r="C45" s="10"/>
      <c r="D45" s="24"/>
    </row>
    <row r="46" spans="2:4" ht="32.25" customHeight="1" x14ac:dyDescent="0.25">
      <c r="D46" s="24"/>
    </row>
    <row r="47" spans="2:4" x14ac:dyDescent="0.25">
      <c r="B47" s="24"/>
      <c r="C47" s="24"/>
      <c r="D47" s="24"/>
    </row>
    <row r="48" spans="2:4" x14ac:dyDescent="0.25">
      <c r="B48" s="24"/>
      <c r="C48" s="24"/>
      <c r="D48" s="24"/>
    </row>
    <row r="49" spans="2:4" x14ac:dyDescent="0.25">
      <c r="B49" s="24"/>
      <c r="C49" s="24"/>
      <c r="D49" s="24"/>
    </row>
    <row r="50" spans="2:4" x14ac:dyDescent="0.25">
      <c r="B50" s="24"/>
      <c r="C50" s="24"/>
      <c r="D50" s="24"/>
    </row>
    <row r="51" spans="2:4" x14ac:dyDescent="0.25">
      <c r="B51" s="24"/>
      <c r="C51" s="24"/>
      <c r="D51" s="24"/>
    </row>
    <row r="52" spans="2:4" x14ac:dyDescent="0.25">
      <c r="B52" s="24"/>
      <c r="C52" s="24"/>
      <c r="D52" s="24"/>
    </row>
    <row r="53" spans="2:4" x14ac:dyDescent="0.25">
      <c r="B53" s="24"/>
      <c r="C53" s="24"/>
      <c r="D53" s="24"/>
    </row>
    <row r="54" spans="2:4" x14ac:dyDescent="0.25">
      <c r="B54" s="24"/>
      <c r="C54" s="24"/>
      <c r="D54" s="24"/>
    </row>
    <row r="55" spans="2:4" x14ac:dyDescent="0.25">
      <c r="B55" s="24"/>
      <c r="C55" s="24"/>
      <c r="D55" s="24"/>
    </row>
    <row r="56" spans="2:4" x14ac:dyDescent="0.25">
      <c r="B56" s="24"/>
      <c r="C56" s="24"/>
      <c r="D56" s="24"/>
    </row>
    <row r="57" spans="2:4" x14ac:dyDescent="0.25">
      <c r="B57" s="24"/>
      <c r="C57" s="24"/>
      <c r="D57" s="24"/>
    </row>
    <row r="58" spans="2:4" x14ac:dyDescent="0.25">
      <c r="B58" s="24"/>
      <c r="C58" s="24"/>
      <c r="D58" s="24"/>
    </row>
    <row r="59" spans="2:4" x14ac:dyDescent="0.25">
      <c r="B59" s="24"/>
      <c r="C59" s="24"/>
      <c r="D59" s="24"/>
    </row>
    <row r="60" spans="2:4" x14ac:dyDescent="0.25">
      <c r="B60" s="24"/>
      <c r="C60" s="24"/>
      <c r="D60" s="24"/>
    </row>
    <row r="61" spans="2:4" x14ac:dyDescent="0.25">
      <c r="B61" s="24"/>
      <c r="C61" s="24"/>
      <c r="D61" s="24"/>
    </row>
    <row r="62" spans="2:4" x14ac:dyDescent="0.25">
      <c r="B62" s="24"/>
      <c r="C62" s="24"/>
      <c r="D62" s="24"/>
    </row>
    <row r="63" spans="2:4" x14ac:dyDescent="0.25">
      <c r="B63" s="24"/>
      <c r="C63" s="24"/>
      <c r="D63" s="24"/>
    </row>
    <row r="64" spans="2:4" x14ac:dyDescent="0.25">
      <c r="B64" s="24"/>
      <c r="C64" s="24"/>
      <c r="D64" s="24"/>
    </row>
    <row r="65" spans="2:4" x14ac:dyDescent="0.25">
      <c r="B65" s="24"/>
      <c r="C65" s="24"/>
      <c r="D65" s="24"/>
    </row>
    <row r="66" spans="2:4" x14ac:dyDescent="0.25">
      <c r="B66" s="24"/>
      <c r="C66" s="24"/>
      <c r="D66" s="24"/>
    </row>
    <row r="67" spans="2:4" x14ac:dyDescent="0.25">
      <c r="B67" s="24"/>
      <c r="C67" s="24"/>
      <c r="D67" s="24"/>
    </row>
    <row r="68" spans="2:4" x14ac:dyDescent="0.25">
      <c r="B68" s="24"/>
      <c r="C68" s="24"/>
      <c r="D68" s="24"/>
    </row>
    <row r="69" spans="2:4" x14ac:dyDescent="0.25">
      <c r="B69" s="24"/>
      <c r="C69" s="24"/>
      <c r="D69" s="24"/>
    </row>
    <row r="70" spans="2:4" x14ac:dyDescent="0.25">
      <c r="B70" s="24"/>
      <c r="C70" s="24"/>
      <c r="D70" s="24"/>
    </row>
    <row r="71" spans="2:4" x14ac:dyDescent="0.25">
      <c r="B71" s="24"/>
      <c r="C71" s="24"/>
      <c r="D71" s="24"/>
    </row>
    <row r="72" spans="2:4" x14ac:dyDescent="0.25">
      <c r="B72" s="24"/>
      <c r="C72" s="24"/>
      <c r="D72" s="24"/>
    </row>
    <row r="73" spans="2:4" x14ac:dyDescent="0.25">
      <c r="B73" s="24"/>
      <c r="C73" s="24"/>
      <c r="D73" s="24"/>
    </row>
    <row r="74" spans="2:4" x14ac:dyDescent="0.25">
      <c r="B74" s="24"/>
      <c r="C74" s="24"/>
      <c r="D74" s="24"/>
    </row>
    <row r="75" spans="2:4" x14ac:dyDescent="0.25">
      <c r="B75" s="24"/>
      <c r="C75" s="24"/>
      <c r="D75" s="24"/>
    </row>
    <row r="76" spans="2:4" x14ac:dyDescent="0.25">
      <c r="B76" s="24"/>
      <c r="C76" s="24"/>
      <c r="D76" s="24"/>
    </row>
    <row r="77" spans="2:4" x14ac:dyDescent="0.25">
      <c r="B77" s="24"/>
      <c r="C77" s="24"/>
      <c r="D77" s="24"/>
    </row>
    <row r="78" spans="2:4" x14ac:dyDescent="0.25">
      <c r="B78" s="24"/>
      <c r="C78" s="24"/>
      <c r="D78" s="24"/>
    </row>
    <row r="79" spans="2:4" x14ac:dyDescent="0.25">
      <c r="B79" s="24"/>
      <c r="C79" s="24"/>
      <c r="D79" s="24"/>
    </row>
    <row r="80" spans="2:4" x14ac:dyDescent="0.25">
      <c r="B80" s="24"/>
      <c r="C80" s="24"/>
      <c r="D80" s="24"/>
    </row>
    <row r="81" spans="2:4" x14ac:dyDescent="0.25">
      <c r="B81" s="24"/>
      <c r="C81" s="24"/>
      <c r="D81" s="24"/>
    </row>
    <row r="82" spans="2:4" x14ac:dyDescent="0.25">
      <c r="B82" s="24"/>
      <c r="C82" s="24"/>
      <c r="D82" s="24"/>
    </row>
    <row r="83" spans="2:4" x14ac:dyDescent="0.25">
      <c r="B83" s="24"/>
      <c r="C83" s="24"/>
      <c r="D83" s="24"/>
    </row>
    <row r="84" spans="2:4" x14ac:dyDescent="0.25">
      <c r="B84" s="24"/>
      <c r="C84" s="24"/>
      <c r="D84" s="24"/>
    </row>
  </sheetData>
  <mergeCells count="5">
    <mergeCell ref="A1:D1"/>
    <mergeCell ref="A2:D2"/>
    <mergeCell ref="A22:C22"/>
    <mergeCell ref="A23:C23"/>
    <mergeCell ref="A21:C21"/>
  </mergeCells>
  <pageMargins left="1.25" right="1" top="0.75" bottom="0.75" header="0.3" footer="0.3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workbookViewId="0">
      <selection activeCell="L7" sqref="L7"/>
    </sheetView>
  </sheetViews>
  <sheetFormatPr defaultRowHeight="15" x14ac:dyDescent="0.25"/>
  <cols>
    <col min="1" max="1" width="3.28515625" customWidth="1"/>
    <col min="2" max="2" width="11.140625" customWidth="1"/>
    <col min="3" max="3" width="27.85546875" customWidth="1"/>
    <col min="4" max="4" width="8.28515625" customWidth="1"/>
    <col min="5" max="5" width="17.42578125" customWidth="1"/>
    <col min="6" max="6" width="13.140625" customWidth="1"/>
    <col min="7" max="7" width="11.85546875" customWidth="1"/>
    <col min="8" max="8" width="10" customWidth="1"/>
    <col min="9" max="9" width="11.7109375" customWidth="1"/>
    <col min="10" max="10" width="12.28515625" customWidth="1"/>
    <col min="11" max="11" width="8.28515625" customWidth="1"/>
  </cols>
  <sheetData>
    <row r="1" spans="1:11" x14ac:dyDescent="0.25">
      <c r="A1" s="677" t="s">
        <v>633</v>
      </c>
      <c r="B1" s="677"/>
      <c r="C1" s="677"/>
      <c r="D1" s="677"/>
      <c r="E1" s="677"/>
      <c r="F1" s="677"/>
      <c r="G1" s="677"/>
      <c r="H1" s="677"/>
      <c r="I1" s="677"/>
      <c r="J1" s="677"/>
      <c r="K1" s="677"/>
    </row>
    <row r="2" spans="1:11" x14ac:dyDescent="0.25">
      <c r="A2" s="677" t="s">
        <v>1473</v>
      </c>
      <c r="B2" s="677"/>
      <c r="C2" s="677"/>
      <c r="D2" s="677"/>
      <c r="E2" s="677"/>
      <c r="F2" s="677"/>
      <c r="G2" s="677"/>
      <c r="H2" s="677"/>
      <c r="I2" s="677"/>
      <c r="J2" s="677"/>
      <c r="K2" s="677"/>
    </row>
    <row r="3" spans="1:11" x14ac:dyDescent="0.25">
      <c r="B3" s="29"/>
      <c r="C3" s="36"/>
      <c r="D3" s="36"/>
      <c r="E3" s="36"/>
    </row>
    <row r="4" spans="1:11" x14ac:dyDescent="0.25">
      <c r="A4" s="678" t="s">
        <v>979</v>
      </c>
      <c r="B4" s="678"/>
      <c r="C4" s="678"/>
      <c r="D4" s="678"/>
      <c r="E4" s="678"/>
      <c r="F4" s="678"/>
      <c r="G4" s="678"/>
      <c r="H4" s="678"/>
      <c r="I4" s="678"/>
      <c r="J4" s="678"/>
      <c r="K4" s="678"/>
    </row>
    <row r="5" spans="1:11" ht="33" x14ac:dyDescent="0.25">
      <c r="A5" s="86" t="s">
        <v>0</v>
      </c>
      <c r="B5" s="485" t="s">
        <v>272</v>
      </c>
      <c r="C5" s="485" t="s">
        <v>1219</v>
      </c>
      <c r="D5" s="485" t="s">
        <v>35</v>
      </c>
      <c r="E5" s="485" t="s">
        <v>36</v>
      </c>
      <c r="F5" s="485" t="s">
        <v>632</v>
      </c>
      <c r="G5" s="485" t="s">
        <v>193</v>
      </c>
      <c r="H5" s="485" t="s">
        <v>222</v>
      </c>
      <c r="I5" s="187" t="s">
        <v>37</v>
      </c>
      <c r="J5" s="187" t="s">
        <v>1472</v>
      </c>
      <c r="K5" s="187" t="s">
        <v>186</v>
      </c>
    </row>
    <row r="6" spans="1:11" ht="33.75" x14ac:dyDescent="0.25">
      <c r="A6" s="48">
        <v>1</v>
      </c>
      <c r="B6" s="486" t="s">
        <v>321</v>
      </c>
      <c r="C6" s="265" t="s">
        <v>52</v>
      </c>
      <c r="D6" s="486" t="s">
        <v>1216</v>
      </c>
      <c r="E6" s="265" t="s">
        <v>1221</v>
      </c>
      <c r="F6" s="487">
        <v>53400000</v>
      </c>
      <c r="G6" s="488">
        <v>0</v>
      </c>
      <c r="H6" s="488">
        <v>0</v>
      </c>
      <c r="I6" s="488">
        <v>0</v>
      </c>
      <c r="J6" s="49">
        <f t="shared" ref="J6:J22" si="0">F6+I6</f>
        <v>53400000</v>
      </c>
      <c r="K6" s="489"/>
    </row>
    <row r="7" spans="1:11" ht="33.75" x14ac:dyDescent="0.25">
      <c r="A7" s="48">
        <v>2</v>
      </c>
      <c r="B7" s="486" t="s">
        <v>519</v>
      </c>
      <c r="C7" s="265" t="s">
        <v>217</v>
      </c>
      <c r="D7" s="486" t="s">
        <v>1216</v>
      </c>
      <c r="E7" s="265" t="s">
        <v>1221</v>
      </c>
      <c r="F7" s="487">
        <v>122000000</v>
      </c>
      <c r="G7" s="488">
        <v>0</v>
      </c>
      <c r="H7" s="488">
        <v>0</v>
      </c>
      <c r="I7" s="488">
        <v>0</v>
      </c>
      <c r="J7" s="49">
        <f t="shared" si="0"/>
        <v>122000000</v>
      </c>
      <c r="K7" s="489"/>
    </row>
    <row r="8" spans="1:11" ht="22.5" x14ac:dyDescent="0.25">
      <c r="A8" s="48">
        <v>3</v>
      </c>
      <c r="B8" s="486" t="s">
        <v>980</v>
      </c>
      <c r="C8" s="265" t="s">
        <v>981</v>
      </c>
      <c r="D8" s="486" t="s">
        <v>1217</v>
      </c>
      <c r="E8" s="265" t="s">
        <v>1222</v>
      </c>
      <c r="F8" s="487">
        <v>2000000</v>
      </c>
      <c r="G8" s="488">
        <v>0</v>
      </c>
      <c r="H8" s="488">
        <v>0</v>
      </c>
      <c r="I8" s="488">
        <v>0</v>
      </c>
      <c r="J8" s="49">
        <f t="shared" si="0"/>
        <v>2000000</v>
      </c>
      <c r="K8" s="489"/>
    </row>
    <row r="9" spans="1:11" ht="22.5" x14ac:dyDescent="0.25">
      <c r="A9" s="48">
        <v>4</v>
      </c>
      <c r="B9" s="486" t="s">
        <v>982</v>
      </c>
      <c r="C9" s="265" t="s">
        <v>983</v>
      </c>
      <c r="D9" s="486" t="s">
        <v>1217</v>
      </c>
      <c r="E9" s="265" t="s">
        <v>1222</v>
      </c>
      <c r="F9" s="487">
        <v>3000000</v>
      </c>
      <c r="G9" s="488">
        <v>0</v>
      </c>
      <c r="H9" s="488">
        <v>0</v>
      </c>
      <c r="I9" s="488">
        <v>0</v>
      </c>
      <c r="J9" s="49">
        <f t="shared" si="0"/>
        <v>3000000</v>
      </c>
      <c r="K9" s="489"/>
    </row>
    <row r="10" spans="1:11" ht="33.75" x14ac:dyDescent="0.25">
      <c r="A10" s="48">
        <v>5</v>
      </c>
      <c r="B10" s="486" t="s">
        <v>976</v>
      </c>
      <c r="C10" s="265" t="s">
        <v>977</v>
      </c>
      <c r="D10" s="486" t="s">
        <v>1216</v>
      </c>
      <c r="E10" s="265" t="s">
        <v>1221</v>
      </c>
      <c r="F10" s="487">
        <v>450000000</v>
      </c>
      <c r="G10" s="488">
        <v>0</v>
      </c>
      <c r="H10" s="488">
        <v>0</v>
      </c>
      <c r="I10" s="98">
        <v>250000000</v>
      </c>
      <c r="J10" s="49">
        <f t="shared" si="0"/>
        <v>700000000</v>
      </c>
      <c r="K10" s="65" t="s">
        <v>185</v>
      </c>
    </row>
    <row r="11" spans="1:11" ht="33.75" x14ac:dyDescent="0.25">
      <c r="A11" s="48">
        <v>6</v>
      </c>
      <c r="B11" s="486" t="s">
        <v>984</v>
      </c>
      <c r="C11" s="265" t="s">
        <v>985</v>
      </c>
      <c r="D11" s="486" t="s">
        <v>1216</v>
      </c>
      <c r="E11" s="265" t="s">
        <v>1221</v>
      </c>
      <c r="F11" s="487">
        <v>2500000</v>
      </c>
      <c r="G11" s="488">
        <v>0</v>
      </c>
      <c r="H11" s="488">
        <v>0</v>
      </c>
      <c r="I11" s="488">
        <v>0</v>
      </c>
      <c r="J11" s="49">
        <f t="shared" si="0"/>
        <v>2500000</v>
      </c>
      <c r="K11" s="489"/>
    </row>
    <row r="12" spans="1:11" ht="33.75" x14ac:dyDescent="0.25">
      <c r="A12" s="48">
        <v>7</v>
      </c>
      <c r="B12" s="486" t="s">
        <v>986</v>
      </c>
      <c r="C12" s="265" t="s">
        <v>987</v>
      </c>
      <c r="D12" s="486" t="s">
        <v>1216</v>
      </c>
      <c r="E12" s="265" t="s">
        <v>1221</v>
      </c>
      <c r="F12" s="487">
        <v>6000000</v>
      </c>
      <c r="G12" s="488">
        <v>0</v>
      </c>
      <c r="H12" s="488">
        <v>0</v>
      </c>
      <c r="I12" s="488">
        <v>0</v>
      </c>
      <c r="J12" s="49">
        <f t="shared" si="0"/>
        <v>6000000</v>
      </c>
      <c r="K12" s="489"/>
    </row>
    <row r="13" spans="1:11" ht="33.75" x14ac:dyDescent="0.25">
      <c r="A13" s="48">
        <v>8</v>
      </c>
      <c r="B13" s="486" t="s">
        <v>988</v>
      </c>
      <c r="C13" s="265" t="s">
        <v>989</v>
      </c>
      <c r="D13" s="486" t="s">
        <v>1216</v>
      </c>
      <c r="E13" s="265" t="s">
        <v>1221</v>
      </c>
      <c r="F13" s="487">
        <v>50000000</v>
      </c>
      <c r="G13" s="488">
        <v>0</v>
      </c>
      <c r="H13" s="488">
        <v>0</v>
      </c>
      <c r="I13" s="488">
        <v>0</v>
      </c>
      <c r="J13" s="49">
        <f t="shared" si="0"/>
        <v>50000000</v>
      </c>
      <c r="K13" s="489"/>
    </row>
    <row r="14" spans="1:11" ht="33.75" x14ac:dyDescent="0.25">
      <c r="A14" s="48">
        <v>9</v>
      </c>
      <c r="B14" s="486" t="s">
        <v>447</v>
      </c>
      <c r="C14" s="265" t="s">
        <v>82</v>
      </c>
      <c r="D14" s="486" t="s">
        <v>1216</v>
      </c>
      <c r="E14" s="265" t="s">
        <v>1221</v>
      </c>
      <c r="F14" s="487">
        <v>665000000</v>
      </c>
      <c r="G14" s="488">
        <v>0</v>
      </c>
      <c r="H14" s="488">
        <v>0</v>
      </c>
      <c r="I14" s="488">
        <v>0</v>
      </c>
      <c r="J14" s="49">
        <f t="shared" si="0"/>
        <v>665000000</v>
      </c>
      <c r="K14" s="489"/>
    </row>
    <row r="15" spans="1:11" ht="22.5" x14ac:dyDescent="0.25">
      <c r="A15" s="48">
        <v>10</v>
      </c>
      <c r="B15" s="486" t="s">
        <v>521</v>
      </c>
      <c r="C15" s="265" t="s">
        <v>87</v>
      </c>
      <c r="D15" s="486" t="s">
        <v>1218</v>
      </c>
      <c r="E15" s="265" t="s">
        <v>1223</v>
      </c>
      <c r="F15" s="487">
        <v>2600000000</v>
      </c>
      <c r="G15" s="488">
        <v>0</v>
      </c>
      <c r="H15" s="488">
        <v>0</v>
      </c>
      <c r="I15" s="488">
        <v>0</v>
      </c>
      <c r="J15" s="49">
        <f t="shared" si="0"/>
        <v>2600000000</v>
      </c>
      <c r="K15" s="489"/>
    </row>
    <row r="16" spans="1:11" ht="22.5" x14ac:dyDescent="0.25">
      <c r="A16" s="48">
        <v>11</v>
      </c>
      <c r="B16" s="486" t="s">
        <v>522</v>
      </c>
      <c r="C16" s="265" t="s">
        <v>88</v>
      </c>
      <c r="D16" s="486" t="s">
        <v>1218</v>
      </c>
      <c r="E16" s="265" t="s">
        <v>1223</v>
      </c>
      <c r="F16" s="487">
        <v>2102000000</v>
      </c>
      <c r="G16" s="488">
        <v>0</v>
      </c>
      <c r="H16" s="488">
        <v>0</v>
      </c>
      <c r="I16" s="488">
        <v>0</v>
      </c>
      <c r="J16" s="49">
        <f t="shared" si="0"/>
        <v>2102000000</v>
      </c>
      <c r="K16" s="489"/>
    </row>
    <row r="17" spans="1:11" ht="33.75" x14ac:dyDescent="0.25">
      <c r="A17" s="48">
        <v>12</v>
      </c>
      <c r="B17" s="486" t="s">
        <v>523</v>
      </c>
      <c r="C17" s="265" t="s">
        <v>990</v>
      </c>
      <c r="D17" s="486" t="s">
        <v>1218</v>
      </c>
      <c r="E17" s="265" t="s">
        <v>1223</v>
      </c>
      <c r="F17" s="487">
        <v>765000000</v>
      </c>
      <c r="G17" s="488">
        <v>0</v>
      </c>
      <c r="H17" s="488">
        <v>0</v>
      </c>
      <c r="I17" s="488">
        <v>0</v>
      </c>
      <c r="J17" s="49">
        <f t="shared" si="0"/>
        <v>765000000</v>
      </c>
      <c r="K17" s="489"/>
    </row>
    <row r="18" spans="1:11" ht="22.5" x14ac:dyDescent="0.25">
      <c r="A18" s="48">
        <v>13</v>
      </c>
      <c r="B18" s="486" t="s">
        <v>524</v>
      </c>
      <c r="C18" s="265" t="s">
        <v>89</v>
      </c>
      <c r="D18" s="486" t="s">
        <v>1218</v>
      </c>
      <c r="E18" s="265" t="s">
        <v>1223</v>
      </c>
      <c r="F18" s="487">
        <v>765000000</v>
      </c>
      <c r="G18" s="488">
        <v>0</v>
      </c>
      <c r="H18" s="488">
        <v>0</v>
      </c>
      <c r="I18" s="488">
        <v>0</v>
      </c>
      <c r="J18" s="49">
        <f t="shared" si="0"/>
        <v>765000000</v>
      </c>
      <c r="K18" s="489"/>
    </row>
    <row r="19" spans="1:11" ht="33.75" x14ac:dyDescent="0.25">
      <c r="A19" s="48">
        <v>14</v>
      </c>
      <c r="B19" s="486" t="s">
        <v>221</v>
      </c>
      <c r="C19" s="265" t="s">
        <v>261</v>
      </c>
      <c r="D19" s="486" t="s">
        <v>1218</v>
      </c>
      <c r="E19" s="265" t="s">
        <v>1223</v>
      </c>
      <c r="F19" s="487">
        <v>1750000000</v>
      </c>
      <c r="G19" s="488">
        <v>0</v>
      </c>
      <c r="H19" s="488">
        <v>0</v>
      </c>
      <c r="I19" s="488">
        <v>0</v>
      </c>
      <c r="J19" s="49">
        <f t="shared" si="0"/>
        <v>1750000000</v>
      </c>
      <c r="K19" s="489"/>
    </row>
    <row r="20" spans="1:11" ht="33.75" x14ac:dyDescent="0.25">
      <c r="A20" s="48">
        <v>15</v>
      </c>
      <c r="B20" s="486" t="s">
        <v>991</v>
      </c>
      <c r="C20" s="265" t="s">
        <v>992</v>
      </c>
      <c r="D20" s="486" t="s">
        <v>1216</v>
      </c>
      <c r="E20" s="265" t="s">
        <v>1221</v>
      </c>
      <c r="F20" s="487">
        <v>44500000</v>
      </c>
      <c r="G20" s="488">
        <v>0</v>
      </c>
      <c r="H20" s="488">
        <v>0</v>
      </c>
      <c r="I20" s="488">
        <v>0</v>
      </c>
      <c r="J20" s="49">
        <f t="shared" si="0"/>
        <v>44500000</v>
      </c>
      <c r="K20" s="489"/>
    </row>
    <row r="21" spans="1:11" ht="33.75" x14ac:dyDescent="0.25">
      <c r="A21" s="48">
        <v>16</v>
      </c>
      <c r="B21" s="486" t="s">
        <v>993</v>
      </c>
      <c r="C21" s="265" t="s">
        <v>190</v>
      </c>
      <c r="D21" s="486" t="s">
        <v>1216</v>
      </c>
      <c r="E21" s="265" t="s">
        <v>1221</v>
      </c>
      <c r="F21" s="487">
        <v>178000000</v>
      </c>
      <c r="G21" s="488">
        <v>0</v>
      </c>
      <c r="H21" s="488">
        <v>0</v>
      </c>
      <c r="I21" s="488">
        <v>0</v>
      </c>
      <c r="J21" s="49">
        <f t="shared" si="0"/>
        <v>178000000</v>
      </c>
      <c r="K21" s="489"/>
    </row>
    <row r="22" spans="1:11" ht="22.5" x14ac:dyDescent="0.25">
      <c r="A22" s="48">
        <v>17</v>
      </c>
      <c r="B22" s="486" t="s">
        <v>364</v>
      </c>
      <c r="C22" s="490" t="s">
        <v>64</v>
      </c>
      <c r="D22" s="491" t="s">
        <v>1216</v>
      </c>
      <c r="E22" s="490" t="s">
        <v>1220</v>
      </c>
      <c r="F22" s="492">
        <v>0</v>
      </c>
      <c r="G22" s="492">
        <v>0</v>
      </c>
      <c r="H22" s="492">
        <v>0</v>
      </c>
      <c r="I22" s="492">
        <v>30000000</v>
      </c>
      <c r="J22" s="33">
        <f t="shared" si="0"/>
        <v>30000000</v>
      </c>
      <c r="K22" s="493" t="s">
        <v>185</v>
      </c>
    </row>
    <row r="23" spans="1:11" x14ac:dyDescent="0.25">
      <c r="A23" s="48"/>
      <c r="B23" s="494"/>
      <c r="C23" s="494" t="s">
        <v>965</v>
      </c>
      <c r="D23" s="494"/>
      <c r="E23" s="494"/>
      <c r="F23" s="357">
        <f>SUM(F6:F22)</f>
        <v>9558400000</v>
      </c>
      <c r="G23" s="351">
        <f>SUM(G6:G22)</f>
        <v>0</v>
      </c>
      <c r="H23" s="351">
        <f>SUM(H6:H22)</f>
        <v>0</v>
      </c>
      <c r="I23" s="351">
        <f>SUM(I6:I22)</f>
        <v>280000000</v>
      </c>
      <c r="J23" s="351">
        <f>SUM(J6:J22)</f>
        <v>9838400000</v>
      </c>
      <c r="K23" s="489"/>
    </row>
    <row r="45" spans="6:6" x14ac:dyDescent="0.25">
      <c r="F45" s="29"/>
    </row>
  </sheetData>
  <mergeCells count="3">
    <mergeCell ref="A1:K1"/>
    <mergeCell ref="A2:K2"/>
    <mergeCell ref="A4:K4"/>
  </mergeCells>
  <pageMargins left="0.13" right="0.13" top="0.75" bottom="0.75" header="0.3" footer="0.3"/>
  <pageSetup firstPageNumber="39" orientation="landscape" useFirstPageNumber="1" r:id="rId1"/>
  <headerFooter>
    <oddFooter>&amp;C&amp;P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"/>
  <sheetViews>
    <sheetView topLeftCell="A28" workbookViewId="0">
      <selection activeCell="H33" sqref="H33"/>
    </sheetView>
  </sheetViews>
  <sheetFormatPr defaultRowHeight="15" x14ac:dyDescent="0.25"/>
  <cols>
    <col min="1" max="1" width="3.140625" customWidth="1"/>
    <col min="2" max="2" width="23.85546875" customWidth="1"/>
    <col min="3" max="3" width="4.7109375" customWidth="1"/>
    <col min="4" max="4" width="13.28515625" customWidth="1"/>
    <col min="5" max="5" width="23.85546875" customWidth="1"/>
    <col min="6" max="6" width="14.7109375" customWidth="1"/>
    <col min="7" max="7" width="13" customWidth="1"/>
    <col min="8" max="8" width="14.28515625" customWidth="1"/>
    <col min="9" max="9" width="13.85546875" customWidth="1"/>
    <col min="10" max="10" width="10.5703125" customWidth="1"/>
    <col min="11" max="11" width="14.5703125" bestFit="1" customWidth="1"/>
  </cols>
  <sheetData>
    <row r="1" spans="1:11" x14ac:dyDescent="0.25">
      <c r="A1" s="660" t="s">
        <v>7</v>
      </c>
      <c r="B1" s="660"/>
      <c r="C1" s="660"/>
      <c r="D1" s="660"/>
      <c r="E1" s="660"/>
      <c r="F1" s="660"/>
      <c r="G1" s="660"/>
      <c r="H1" s="660"/>
      <c r="I1" s="660"/>
      <c r="J1" s="660"/>
    </row>
    <row r="2" spans="1:11" x14ac:dyDescent="0.25">
      <c r="A2" s="660" t="s">
        <v>1480</v>
      </c>
      <c r="B2" s="660"/>
      <c r="C2" s="660"/>
      <c r="D2" s="660"/>
      <c r="E2" s="660"/>
      <c r="F2" s="660"/>
      <c r="G2" s="660"/>
      <c r="H2" s="660"/>
      <c r="I2" s="660"/>
      <c r="J2" s="660"/>
    </row>
    <row r="3" spans="1:11" x14ac:dyDescent="0.25">
      <c r="A3" s="660" t="s">
        <v>32</v>
      </c>
      <c r="B3" s="660"/>
      <c r="C3" s="660"/>
      <c r="D3" s="660"/>
      <c r="E3" s="660"/>
      <c r="F3" s="660"/>
      <c r="G3" s="660"/>
      <c r="H3" s="660"/>
      <c r="I3" s="660"/>
      <c r="J3" s="660"/>
    </row>
    <row r="4" spans="1:11" x14ac:dyDescent="0.25">
      <c r="A4" s="675"/>
      <c r="B4" s="675"/>
      <c r="C4" s="675"/>
      <c r="D4" s="675"/>
      <c r="E4" s="675"/>
      <c r="F4" s="675"/>
      <c r="G4" s="675"/>
      <c r="H4" s="675"/>
      <c r="I4" s="675"/>
      <c r="J4" s="675"/>
    </row>
    <row r="5" spans="1:11" s="27" customFormat="1" ht="38.25" customHeight="1" x14ac:dyDescent="0.2">
      <c r="A5" s="70" t="s">
        <v>0</v>
      </c>
      <c r="B5" s="70" t="s">
        <v>27</v>
      </c>
      <c r="C5" s="70" t="s">
        <v>2</v>
      </c>
      <c r="D5" s="71" t="s">
        <v>17</v>
      </c>
      <c r="E5" s="70" t="s">
        <v>33</v>
      </c>
      <c r="F5" s="71" t="s">
        <v>540</v>
      </c>
      <c r="G5" s="71" t="s">
        <v>197</v>
      </c>
      <c r="H5" s="71" t="s">
        <v>29</v>
      </c>
      <c r="I5" s="96" t="s">
        <v>1486</v>
      </c>
      <c r="J5" s="70" t="s">
        <v>191</v>
      </c>
    </row>
    <row r="6" spans="1:11" s="29" customFormat="1" ht="26.25" customHeight="1" thickBot="1" x14ac:dyDescent="0.3">
      <c r="A6" s="294">
        <v>1</v>
      </c>
      <c r="B6" s="308" t="s">
        <v>66</v>
      </c>
      <c r="C6" s="100"/>
      <c r="D6" s="275" t="s">
        <v>713</v>
      </c>
      <c r="E6" s="295" t="s">
        <v>714</v>
      </c>
      <c r="F6" s="276">
        <v>20000000</v>
      </c>
      <c r="G6" s="276">
        <v>0</v>
      </c>
      <c r="H6" s="276">
        <v>20000000</v>
      </c>
      <c r="I6" s="278">
        <f>F6-H6</f>
        <v>0</v>
      </c>
      <c r="J6" s="110"/>
    </row>
    <row r="7" spans="1:11" s="29" customFormat="1" ht="24" customHeight="1" thickBot="1" x14ac:dyDescent="0.3">
      <c r="A7" s="303"/>
      <c r="B7" s="235"/>
      <c r="C7" s="304"/>
      <c r="D7" s="305"/>
      <c r="E7" s="291" t="s">
        <v>698</v>
      </c>
      <c r="F7" s="306">
        <f t="shared" ref="F7:H7" si="0">SUM(F6)</f>
        <v>20000000</v>
      </c>
      <c r="G7" s="306">
        <f t="shared" si="0"/>
        <v>0</v>
      </c>
      <c r="H7" s="306">
        <f t="shared" si="0"/>
        <v>20000000</v>
      </c>
      <c r="I7" s="307">
        <f>SUM(I6)</f>
        <v>0</v>
      </c>
      <c r="J7" s="113"/>
    </row>
    <row r="8" spans="1:11" s="29" customFormat="1" ht="6.75" customHeight="1" x14ac:dyDescent="0.25">
      <c r="A8" s="296"/>
      <c r="B8" s="296"/>
      <c r="C8" s="297"/>
      <c r="D8" s="298"/>
      <c r="E8" s="299"/>
      <c r="F8" s="300"/>
      <c r="G8" s="300"/>
      <c r="H8" s="301"/>
      <c r="I8" s="302"/>
      <c r="J8" s="34"/>
    </row>
    <row r="9" spans="1:11" s="31" customFormat="1" ht="27.75" customHeight="1" thickBot="1" x14ac:dyDescent="0.25">
      <c r="A9" s="274">
        <v>2</v>
      </c>
      <c r="B9" s="289" t="s">
        <v>77</v>
      </c>
      <c r="C9" s="274"/>
      <c r="D9" s="275" t="s">
        <v>552</v>
      </c>
      <c r="E9" s="66" t="s">
        <v>553</v>
      </c>
      <c r="F9" s="276">
        <v>4000000000</v>
      </c>
      <c r="G9" s="102">
        <v>0</v>
      </c>
      <c r="H9" s="277">
        <v>3224145000</v>
      </c>
      <c r="I9" s="278">
        <f>F9-H9</f>
        <v>775855000</v>
      </c>
      <c r="J9" s="279"/>
      <c r="K9" s="45"/>
    </row>
    <row r="10" spans="1:11" s="31" customFormat="1" ht="23.25" customHeight="1" thickBot="1" x14ac:dyDescent="0.3">
      <c r="A10" s="90"/>
      <c r="B10" s="92"/>
      <c r="C10" s="93"/>
      <c r="D10" s="94"/>
      <c r="E10" s="134" t="s">
        <v>554</v>
      </c>
      <c r="F10" s="287">
        <f>SUM(F9:F9)</f>
        <v>4000000000</v>
      </c>
      <c r="G10" s="287">
        <f>SUM(G9:G9)</f>
        <v>0</v>
      </c>
      <c r="H10" s="287">
        <f>SUM(H9:H9)</f>
        <v>3224145000</v>
      </c>
      <c r="I10" s="287">
        <f>SUM(I9:I9)</f>
        <v>775855000</v>
      </c>
      <c r="J10" s="84"/>
      <c r="K10" s="45"/>
    </row>
    <row r="11" spans="1:11" s="31" customFormat="1" ht="6.75" customHeight="1" x14ac:dyDescent="0.25">
      <c r="A11" s="280"/>
      <c r="B11" s="281"/>
      <c r="C11" s="282"/>
      <c r="D11" s="283"/>
      <c r="E11" s="284"/>
      <c r="F11" s="285"/>
      <c r="G11" s="285"/>
      <c r="H11" s="285"/>
      <c r="I11" s="285"/>
      <c r="J11" s="286"/>
      <c r="K11" s="45"/>
    </row>
    <row r="12" spans="1:11" s="31" customFormat="1" ht="26.25" customHeight="1" thickBot="1" x14ac:dyDescent="0.25">
      <c r="A12" s="274">
        <v>3</v>
      </c>
      <c r="B12" s="289" t="s">
        <v>96</v>
      </c>
      <c r="C12" s="288"/>
      <c r="D12" s="275" t="s">
        <v>792</v>
      </c>
      <c r="E12" s="242" t="s">
        <v>793</v>
      </c>
      <c r="F12" s="276">
        <v>423000000</v>
      </c>
      <c r="G12" s="290">
        <f t="shared" ref="G12:H13" si="1">SUM(G11)</f>
        <v>0</v>
      </c>
      <c r="H12" s="276">
        <v>300000000</v>
      </c>
      <c r="I12" s="278">
        <f>F12-H12-G12</f>
        <v>123000000</v>
      </c>
      <c r="J12" s="279"/>
      <c r="K12" s="45"/>
    </row>
    <row r="13" spans="1:11" s="31" customFormat="1" ht="23.25" customHeight="1" thickBot="1" x14ac:dyDescent="0.3">
      <c r="A13" s="90"/>
      <c r="B13" s="92"/>
      <c r="C13" s="93"/>
      <c r="D13" s="94"/>
      <c r="E13" s="291" t="s">
        <v>791</v>
      </c>
      <c r="F13" s="287">
        <f t="shared" ref="F13" si="2">SUM(F12)</f>
        <v>423000000</v>
      </c>
      <c r="G13" s="287">
        <f t="shared" si="1"/>
        <v>0</v>
      </c>
      <c r="H13" s="287">
        <f t="shared" si="1"/>
        <v>300000000</v>
      </c>
      <c r="I13" s="287">
        <f>SUM(I12)</f>
        <v>123000000</v>
      </c>
      <c r="J13" s="84"/>
      <c r="K13" s="45"/>
    </row>
    <row r="14" spans="1:11" s="31" customFormat="1" ht="6.75" customHeight="1" x14ac:dyDescent="0.25">
      <c r="A14" s="280"/>
      <c r="B14" s="281"/>
      <c r="C14" s="282"/>
      <c r="D14" s="283"/>
      <c r="E14" s="284"/>
      <c r="F14" s="285"/>
      <c r="G14" s="285"/>
      <c r="H14" s="285"/>
      <c r="I14" s="285"/>
      <c r="J14" s="286"/>
      <c r="K14" s="45"/>
    </row>
    <row r="15" spans="1:11" s="31" customFormat="1" ht="36" customHeight="1" thickBot="1" x14ac:dyDescent="0.25">
      <c r="A15" s="85">
        <v>4</v>
      </c>
      <c r="B15" s="68" t="s">
        <v>212</v>
      </c>
      <c r="C15" s="272"/>
      <c r="D15" s="275" t="s">
        <v>795</v>
      </c>
      <c r="E15" s="245" t="s">
        <v>796</v>
      </c>
      <c r="F15" s="88">
        <v>120000000</v>
      </c>
      <c r="G15" s="290">
        <v>0</v>
      </c>
      <c r="H15" s="88">
        <v>80000000</v>
      </c>
      <c r="I15" s="278">
        <f>F15-H15</f>
        <v>40000000</v>
      </c>
      <c r="J15" s="83"/>
      <c r="K15" s="45"/>
    </row>
    <row r="16" spans="1:11" s="31" customFormat="1" ht="42.75" customHeight="1" thickBot="1" x14ac:dyDescent="0.3">
      <c r="A16" s="90"/>
      <c r="B16" s="92"/>
      <c r="C16" s="93"/>
      <c r="D16" s="94"/>
      <c r="E16" s="134" t="s">
        <v>794</v>
      </c>
      <c r="F16" s="287">
        <f>SUM(F15:F15)</f>
        <v>120000000</v>
      </c>
      <c r="G16" s="287">
        <f>SUM(G15:G15)</f>
        <v>0</v>
      </c>
      <c r="H16" s="287">
        <f>SUM(H15:H15)</f>
        <v>80000000</v>
      </c>
      <c r="I16" s="287">
        <f>SUM(I15:I15)</f>
        <v>40000000</v>
      </c>
      <c r="J16" s="84"/>
      <c r="K16" s="45"/>
    </row>
    <row r="17" spans="1:11" s="31" customFormat="1" ht="6.75" customHeight="1" x14ac:dyDescent="0.25">
      <c r="A17" s="280"/>
      <c r="B17" s="281"/>
      <c r="C17" s="282"/>
      <c r="D17" s="283"/>
      <c r="E17" s="284"/>
      <c r="F17" s="292"/>
      <c r="G17" s="292"/>
      <c r="H17" s="292"/>
      <c r="I17" s="292"/>
      <c r="J17" s="286"/>
      <c r="K17" s="45"/>
    </row>
    <row r="18" spans="1:11" s="31" customFormat="1" ht="47.25" customHeight="1" thickBot="1" x14ac:dyDescent="0.25">
      <c r="A18" s="274">
        <v>5</v>
      </c>
      <c r="B18" s="91" t="s">
        <v>242</v>
      </c>
      <c r="C18" s="288"/>
      <c r="D18" s="275" t="s">
        <v>798</v>
      </c>
      <c r="E18" s="293" t="s">
        <v>797</v>
      </c>
      <c r="F18" s="276">
        <v>500000000</v>
      </c>
      <c r="G18" s="276">
        <v>0</v>
      </c>
      <c r="H18" s="276">
        <v>300000000</v>
      </c>
      <c r="I18" s="278">
        <f>F18-H18</f>
        <v>200000000</v>
      </c>
      <c r="J18" s="279"/>
      <c r="K18" s="45"/>
    </row>
    <row r="19" spans="1:11" s="31" customFormat="1" ht="45" customHeight="1" thickBot="1" x14ac:dyDescent="0.3">
      <c r="A19" s="90"/>
      <c r="B19" s="92"/>
      <c r="C19" s="93"/>
      <c r="D19" s="94"/>
      <c r="E19" s="134" t="s">
        <v>799</v>
      </c>
      <c r="F19" s="287">
        <f t="shared" ref="F19:H19" si="3">SUM(F18)</f>
        <v>500000000</v>
      </c>
      <c r="G19" s="287">
        <f t="shared" si="3"/>
        <v>0</v>
      </c>
      <c r="H19" s="287">
        <f t="shared" si="3"/>
        <v>300000000</v>
      </c>
      <c r="I19" s="287">
        <f>SUM(I18)</f>
        <v>200000000</v>
      </c>
      <c r="J19" s="84"/>
      <c r="K19" s="45"/>
    </row>
    <row r="20" spans="1:11" s="31" customFormat="1" ht="6" customHeight="1" x14ac:dyDescent="0.25">
      <c r="A20" s="280"/>
      <c r="B20" s="281"/>
      <c r="C20" s="282"/>
      <c r="D20" s="283"/>
      <c r="E20" s="284"/>
      <c r="F20" s="292"/>
      <c r="G20" s="292"/>
      <c r="H20" s="292"/>
      <c r="I20" s="292"/>
      <c r="J20" s="286"/>
      <c r="K20" s="45"/>
    </row>
    <row r="21" spans="1:11" s="31" customFormat="1" ht="22.5" customHeight="1" thickBot="1" x14ac:dyDescent="0.25">
      <c r="A21" s="270">
        <v>6</v>
      </c>
      <c r="B21" s="269" t="s">
        <v>23</v>
      </c>
      <c r="C21" s="309"/>
      <c r="D21" s="275" t="s">
        <v>801</v>
      </c>
      <c r="E21" s="242" t="s">
        <v>802</v>
      </c>
      <c r="F21" s="310">
        <v>200000000</v>
      </c>
      <c r="G21" s="310">
        <v>0</v>
      </c>
      <c r="H21" s="310">
        <v>100000000</v>
      </c>
      <c r="I21" s="278">
        <f>F21-H21</f>
        <v>100000000</v>
      </c>
      <c r="J21" s="311"/>
      <c r="K21" s="45"/>
    </row>
    <row r="22" spans="1:11" s="31" customFormat="1" ht="23.25" customHeight="1" thickBot="1" x14ac:dyDescent="0.3">
      <c r="A22" s="90"/>
      <c r="B22" s="92"/>
      <c r="C22" s="93"/>
      <c r="D22" s="152"/>
      <c r="E22" s="134" t="s">
        <v>800</v>
      </c>
      <c r="F22" s="287">
        <f t="shared" ref="F22:I22" si="4">SUM(F21)</f>
        <v>200000000</v>
      </c>
      <c r="G22" s="287">
        <f t="shared" si="4"/>
        <v>0</v>
      </c>
      <c r="H22" s="287">
        <f t="shared" si="4"/>
        <v>100000000</v>
      </c>
      <c r="I22" s="287">
        <f t="shared" si="4"/>
        <v>100000000</v>
      </c>
      <c r="J22" s="84"/>
      <c r="K22" s="45"/>
    </row>
    <row r="23" spans="1:11" s="31" customFormat="1" ht="6.75" customHeight="1" x14ac:dyDescent="0.25">
      <c r="A23" s="553"/>
      <c r="B23" s="554"/>
      <c r="C23" s="555"/>
      <c r="D23" s="556"/>
      <c r="E23" s="557"/>
      <c r="F23" s="558"/>
      <c r="G23" s="558"/>
      <c r="H23" s="558"/>
      <c r="I23" s="558"/>
      <c r="K23" s="45"/>
    </row>
    <row r="24" spans="1:11" s="31" customFormat="1" ht="33.75" customHeight="1" x14ac:dyDescent="0.2">
      <c r="A24" s="280">
        <v>7</v>
      </c>
      <c r="B24" s="95" t="s">
        <v>190</v>
      </c>
      <c r="C24" s="282"/>
      <c r="D24" s="150" t="s">
        <v>804</v>
      </c>
      <c r="E24" s="551" t="s">
        <v>803</v>
      </c>
      <c r="F24" s="292">
        <v>220000000</v>
      </c>
      <c r="G24" s="292">
        <v>0</v>
      </c>
      <c r="H24" s="292">
        <v>100000000</v>
      </c>
      <c r="I24" s="552">
        <f>F24-H24</f>
        <v>120000000</v>
      </c>
      <c r="J24" s="286"/>
      <c r="K24" s="45"/>
    </row>
    <row r="25" spans="1:11" s="31" customFormat="1" ht="23.25" customHeight="1" x14ac:dyDescent="0.2">
      <c r="A25" s="85"/>
      <c r="B25" s="68"/>
      <c r="C25" s="272"/>
      <c r="D25" s="123" t="s">
        <v>805</v>
      </c>
      <c r="E25" s="245" t="s">
        <v>806</v>
      </c>
      <c r="F25" s="88">
        <v>525000000</v>
      </c>
      <c r="G25" s="88">
        <v>60124880.740000002</v>
      </c>
      <c r="H25" s="88">
        <v>200000000</v>
      </c>
      <c r="I25" s="313">
        <f t="shared" ref="I25:I26" si="5">F25-H25</f>
        <v>325000000</v>
      </c>
      <c r="J25" s="83"/>
      <c r="K25" s="45"/>
    </row>
    <row r="26" spans="1:11" s="31" customFormat="1" ht="16.5" customHeight="1" thickBot="1" x14ac:dyDescent="0.25">
      <c r="A26" s="274"/>
      <c r="B26" s="91"/>
      <c r="C26" s="288"/>
      <c r="D26" s="275" t="s">
        <v>807</v>
      </c>
      <c r="E26" s="293" t="s">
        <v>808</v>
      </c>
      <c r="F26" s="276">
        <v>70000000</v>
      </c>
      <c r="G26" s="276">
        <v>0</v>
      </c>
      <c r="H26" s="276">
        <v>40000000</v>
      </c>
      <c r="I26" s="313">
        <f t="shared" si="5"/>
        <v>30000000</v>
      </c>
      <c r="J26" s="279"/>
      <c r="K26" s="45"/>
    </row>
    <row r="27" spans="1:11" s="31" customFormat="1" ht="36.75" customHeight="1" thickBot="1" x14ac:dyDescent="0.3">
      <c r="A27" s="90"/>
      <c r="B27" s="92"/>
      <c r="C27" s="93"/>
      <c r="D27" s="94"/>
      <c r="E27" s="134" t="s">
        <v>812</v>
      </c>
      <c r="F27" s="287">
        <f t="shared" ref="F27:H27" si="6">SUM(F24:F26)</f>
        <v>815000000</v>
      </c>
      <c r="G27" s="287">
        <f t="shared" si="6"/>
        <v>60124880.740000002</v>
      </c>
      <c r="H27" s="287">
        <f t="shared" si="6"/>
        <v>340000000</v>
      </c>
      <c r="I27" s="287">
        <f>SUM(I24:I26)</f>
        <v>475000000</v>
      </c>
      <c r="J27" s="84"/>
      <c r="K27" s="45"/>
    </row>
    <row r="28" spans="1:11" s="31" customFormat="1" ht="6" customHeight="1" x14ac:dyDescent="0.25">
      <c r="A28" s="280"/>
      <c r="B28" s="281"/>
      <c r="C28" s="282"/>
      <c r="D28" s="283"/>
      <c r="E28" s="284"/>
      <c r="F28" s="292"/>
      <c r="G28" s="292"/>
      <c r="H28" s="292"/>
      <c r="I28" s="292"/>
      <c r="J28" s="286"/>
      <c r="K28" s="45"/>
    </row>
    <row r="29" spans="1:11" s="31" customFormat="1" ht="33" customHeight="1" thickBot="1" x14ac:dyDescent="0.25">
      <c r="A29" s="270">
        <v>8</v>
      </c>
      <c r="B29" s="269" t="s">
        <v>809</v>
      </c>
      <c r="C29" s="309"/>
      <c r="D29" s="275" t="s">
        <v>811</v>
      </c>
      <c r="E29" s="315" t="s">
        <v>810</v>
      </c>
      <c r="F29" s="310">
        <v>1000000000</v>
      </c>
      <c r="G29" s="310">
        <v>0</v>
      </c>
      <c r="H29" s="310">
        <v>700000000</v>
      </c>
      <c r="I29" s="314">
        <f>F29-H29</f>
        <v>300000000</v>
      </c>
      <c r="J29" s="311"/>
      <c r="K29" s="45"/>
    </row>
    <row r="30" spans="1:11" s="31" customFormat="1" ht="31.5" customHeight="1" thickBot="1" x14ac:dyDescent="0.3">
      <c r="A30" s="90"/>
      <c r="B30" s="92"/>
      <c r="C30" s="93"/>
      <c r="D30" s="94"/>
      <c r="E30" s="134" t="s">
        <v>813</v>
      </c>
      <c r="F30" s="287">
        <f t="shared" ref="F30:H30" si="7">SUM(F29)</f>
        <v>1000000000</v>
      </c>
      <c r="G30" s="287">
        <f t="shared" si="7"/>
        <v>0</v>
      </c>
      <c r="H30" s="287">
        <f t="shared" si="7"/>
        <v>700000000</v>
      </c>
      <c r="I30" s="287">
        <f>SUM(I29)</f>
        <v>300000000</v>
      </c>
      <c r="J30" s="84"/>
      <c r="K30" s="45"/>
    </row>
    <row r="31" spans="1:11" s="31" customFormat="1" ht="33" customHeight="1" thickBot="1" x14ac:dyDescent="0.25">
      <c r="A31" s="270">
        <v>9</v>
      </c>
      <c r="B31" s="269" t="s">
        <v>207</v>
      </c>
      <c r="C31" s="309"/>
      <c r="D31" s="275" t="s">
        <v>814</v>
      </c>
      <c r="E31" s="242" t="s">
        <v>815</v>
      </c>
      <c r="F31" s="310">
        <v>250000000</v>
      </c>
      <c r="G31" s="310">
        <v>0</v>
      </c>
      <c r="H31" s="310">
        <v>100000000</v>
      </c>
      <c r="I31" s="314">
        <f>F31-H31</f>
        <v>150000000</v>
      </c>
      <c r="J31" s="311"/>
      <c r="K31" s="45"/>
    </row>
    <row r="32" spans="1:11" s="31" customFormat="1" ht="23.25" customHeight="1" thickBot="1" x14ac:dyDescent="0.3">
      <c r="A32" s="90"/>
      <c r="B32" s="92"/>
      <c r="C32" s="93"/>
      <c r="D32" s="94"/>
      <c r="E32" s="134" t="s">
        <v>243</v>
      </c>
      <c r="F32" s="287">
        <f t="shared" ref="F32" si="8">SUM(F31)</f>
        <v>250000000</v>
      </c>
      <c r="G32" s="287">
        <f t="shared" ref="G32" si="9">SUM(G31)</f>
        <v>0</v>
      </c>
      <c r="H32" s="287">
        <f t="shared" ref="H32" si="10">SUM(H31)</f>
        <v>100000000</v>
      </c>
      <c r="I32" s="287">
        <f t="shared" ref="I32" si="11">SUM(I31)</f>
        <v>150000000</v>
      </c>
      <c r="J32" s="84"/>
      <c r="K32" s="45"/>
    </row>
    <row r="33" spans="1:11" s="31" customFormat="1" ht="6" customHeight="1" x14ac:dyDescent="0.25">
      <c r="A33" s="280"/>
      <c r="B33" s="281"/>
      <c r="C33" s="282"/>
      <c r="D33" s="283"/>
      <c r="E33" s="284"/>
      <c r="F33" s="292"/>
      <c r="G33" s="292"/>
      <c r="H33" s="292"/>
      <c r="I33" s="292"/>
      <c r="J33" s="286"/>
      <c r="K33" s="45"/>
    </row>
    <row r="34" spans="1:11" s="31" customFormat="1" ht="15.75" customHeight="1" thickBot="1" x14ac:dyDescent="0.25">
      <c r="A34" s="270">
        <v>10</v>
      </c>
      <c r="B34" s="269" t="s">
        <v>79</v>
      </c>
      <c r="C34" s="309"/>
      <c r="D34" s="275" t="s">
        <v>817</v>
      </c>
      <c r="E34" s="293" t="s">
        <v>818</v>
      </c>
      <c r="F34" s="310">
        <v>420000000</v>
      </c>
      <c r="G34" s="310">
        <v>66166666.670000002</v>
      </c>
      <c r="H34" s="310">
        <v>0</v>
      </c>
      <c r="I34" s="314">
        <f>F34-H34</f>
        <v>420000000</v>
      </c>
      <c r="J34" s="311"/>
      <c r="K34" s="45"/>
    </row>
    <row r="35" spans="1:11" s="31" customFormat="1" ht="23.25" customHeight="1" thickBot="1" x14ac:dyDescent="0.3">
      <c r="A35" s="90"/>
      <c r="B35" s="92"/>
      <c r="C35" s="93"/>
      <c r="D35" s="94"/>
      <c r="E35" s="134" t="s">
        <v>816</v>
      </c>
      <c r="F35" s="287">
        <f t="shared" ref="F35" si="12">SUM(F34)</f>
        <v>420000000</v>
      </c>
      <c r="G35" s="287">
        <f t="shared" ref="G35" si="13">SUM(G34)</f>
        <v>66166666.670000002</v>
      </c>
      <c r="H35" s="287">
        <f t="shared" ref="H35" si="14">SUM(H34)</f>
        <v>0</v>
      </c>
      <c r="I35" s="287">
        <f t="shared" ref="I35" si="15">SUM(I34)</f>
        <v>420000000</v>
      </c>
      <c r="J35" s="84"/>
      <c r="K35" s="45"/>
    </row>
    <row r="36" spans="1:11" s="31" customFormat="1" ht="5.25" customHeight="1" x14ac:dyDescent="0.25">
      <c r="A36" s="280"/>
      <c r="B36" s="281"/>
      <c r="C36" s="282"/>
      <c r="D36" s="283"/>
      <c r="E36" s="284"/>
      <c r="F36" s="292"/>
      <c r="G36" s="292"/>
      <c r="H36" s="292"/>
      <c r="I36" s="292"/>
      <c r="J36" s="286"/>
      <c r="K36" s="45"/>
    </row>
    <row r="37" spans="1:11" s="31" customFormat="1" ht="23.25" customHeight="1" thickBot="1" x14ac:dyDescent="0.25">
      <c r="A37" s="270">
        <v>11</v>
      </c>
      <c r="B37" s="269" t="s">
        <v>92</v>
      </c>
      <c r="C37" s="309"/>
      <c r="D37" s="275" t="s">
        <v>819</v>
      </c>
      <c r="E37" s="242" t="s">
        <v>820</v>
      </c>
      <c r="F37" s="310">
        <v>1300000000</v>
      </c>
      <c r="G37" s="310">
        <v>0</v>
      </c>
      <c r="H37" s="310">
        <f>800000000+140000000</f>
        <v>940000000</v>
      </c>
      <c r="I37" s="314">
        <f>F37-H37</f>
        <v>360000000</v>
      </c>
      <c r="J37" s="311"/>
      <c r="K37" s="45"/>
    </row>
    <row r="38" spans="1:11" s="31" customFormat="1" ht="23.25" customHeight="1" thickBot="1" x14ac:dyDescent="0.3">
      <c r="A38" s="90"/>
      <c r="B38" s="92"/>
      <c r="C38" s="93"/>
      <c r="D38" s="94"/>
      <c r="E38" s="134" t="s">
        <v>188</v>
      </c>
      <c r="F38" s="287">
        <f t="shared" ref="F38" si="16">SUM(F37)</f>
        <v>1300000000</v>
      </c>
      <c r="G38" s="287">
        <f t="shared" ref="G38" si="17">SUM(G37)</f>
        <v>0</v>
      </c>
      <c r="H38" s="287">
        <f t="shared" ref="H38" si="18">SUM(H37)</f>
        <v>940000000</v>
      </c>
      <c r="I38" s="287">
        <f t="shared" ref="I38" si="19">SUM(I37)</f>
        <v>360000000</v>
      </c>
      <c r="J38" s="84"/>
      <c r="K38" s="45"/>
    </row>
    <row r="39" spans="1:11" s="31" customFormat="1" ht="6" customHeight="1" x14ac:dyDescent="0.25">
      <c r="A39" s="280"/>
      <c r="B39" s="281"/>
      <c r="C39" s="282"/>
      <c r="D39" s="283"/>
      <c r="E39" s="284"/>
      <c r="F39" s="292"/>
      <c r="G39" s="292"/>
      <c r="H39" s="292"/>
      <c r="I39" s="292"/>
      <c r="J39" s="286"/>
      <c r="K39" s="45"/>
    </row>
    <row r="40" spans="1:11" s="31" customFormat="1" ht="23.25" customHeight="1" thickBot="1" x14ac:dyDescent="0.25">
      <c r="A40" s="270">
        <v>12</v>
      </c>
      <c r="B40" s="269" t="s">
        <v>63</v>
      </c>
      <c r="C40" s="309"/>
      <c r="D40" s="275" t="s">
        <v>821</v>
      </c>
      <c r="E40" s="293" t="s">
        <v>822</v>
      </c>
      <c r="F40" s="310">
        <v>250000000</v>
      </c>
      <c r="G40" s="310">
        <v>0</v>
      </c>
      <c r="H40" s="310">
        <v>100000000</v>
      </c>
      <c r="I40" s="314">
        <f>F40-H40</f>
        <v>150000000</v>
      </c>
      <c r="J40" s="311"/>
      <c r="K40" s="45"/>
    </row>
    <row r="41" spans="1:11" s="31" customFormat="1" ht="23.25" customHeight="1" thickBot="1" x14ac:dyDescent="0.3">
      <c r="A41" s="90"/>
      <c r="B41" s="92"/>
      <c r="C41" s="93"/>
      <c r="D41" s="94"/>
      <c r="E41" s="134" t="s">
        <v>824</v>
      </c>
      <c r="F41" s="287">
        <f t="shared" ref="F41" si="20">SUM(F40)</f>
        <v>250000000</v>
      </c>
      <c r="G41" s="287">
        <f t="shared" ref="G41" si="21">SUM(G40)</f>
        <v>0</v>
      </c>
      <c r="H41" s="287">
        <f t="shared" ref="H41" si="22">SUM(H40)</f>
        <v>100000000</v>
      </c>
      <c r="I41" s="287">
        <f t="shared" ref="I41" si="23">SUM(I40)</f>
        <v>150000000</v>
      </c>
      <c r="J41" s="84"/>
      <c r="K41" s="45"/>
    </row>
    <row r="42" spans="1:11" s="31" customFormat="1" ht="6.75" customHeight="1" x14ac:dyDescent="0.25">
      <c r="A42" s="280"/>
      <c r="B42" s="281"/>
      <c r="C42" s="282"/>
      <c r="D42" s="283"/>
      <c r="E42" s="284"/>
      <c r="F42" s="285"/>
      <c r="G42" s="285"/>
      <c r="H42" s="285"/>
      <c r="I42" s="285"/>
      <c r="J42" s="286"/>
      <c r="K42" s="45"/>
    </row>
    <row r="43" spans="1:11" s="31" customFormat="1" ht="23.25" customHeight="1" x14ac:dyDescent="0.2">
      <c r="A43" s="85">
        <v>13</v>
      </c>
      <c r="B43" s="68" t="s">
        <v>823</v>
      </c>
      <c r="C43" s="272"/>
      <c r="D43" s="123" t="s">
        <v>825</v>
      </c>
      <c r="E43" s="245" t="s">
        <v>796</v>
      </c>
      <c r="F43" s="88">
        <v>450000000</v>
      </c>
      <c r="G43" s="88">
        <v>0</v>
      </c>
      <c r="H43" s="88">
        <v>0</v>
      </c>
      <c r="I43" s="314">
        <f>F43-H43</f>
        <v>450000000</v>
      </c>
      <c r="J43" s="83"/>
      <c r="K43" s="45"/>
    </row>
    <row r="44" spans="1:11" s="31" customFormat="1" ht="23.25" customHeight="1" x14ac:dyDescent="0.25">
      <c r="A44" s="280"/>
      <c r="B44" s="281"/>
      <c r="C44" s="282"/>
      <c r="D44" s="275" t="s">
        <v>826</v>
      </c>
      <c r="E44" s="245" t="s">
        <v>827</v>
      </c>
      <c r="F44" s="292">
        <v>600000000</v>
      </c>
      <c r="G44" s="292">
        <v>50000000</v>
      </c>
      <c r="H44" s="292">
        <v>300000000</v>
      </c>
      <c r="I44" s="314">
        <f>F44-H44</f>
        <v>300000000</v>
      </c>
      <c r="J44" s="286"/>
      <c r="K44" s="45"/>
    </row>
    <row r="45" spans="1:11" s="31" customFormat="1" ht="19.5" customHeight="1" thickBot="1" x14ac:dyDescent="0.3">
      <c r="A45" s="270"/>
      <c r="B45" s="312"/>
      <c r="C45" s="309"/>
      <c r="D45" s="275" t="s">
        <v>828</v>
      </c>
      <c r="E45" s="242" t="s">
        <v>829</v>
      </c>
      <c r="F45" s="310">
        <v>728000000</v>
      </c>
      <c r="G45" s="310">
        <v>0</v>
      </c>
      <c r="H45" s="310">
        <v>0</v>
      </c>
      <c r="I45" s="314">
        <f>F45-H45</f>
        <v>728000000</v>
      </c>
      <c r="J45" s="311"/>
      <c r="K45" s="45"/>
    </row>
    <row r="46" spans="1:11" s="31" customFormat="1" ht="23.25" customHeight="1" thickBot="1" x14ac:dyDescent="0.3">
      <c r="A46" s="90"/>
      <c r="B46" s="92"/>
      <c r="C46" s="93"/>
      <c r="D46" s="94"/>
      <c r="E46" s="134" t="s">
        <v>830</v>
      </c>
      <c r="F46" s="287">
        <f t="shared" ref="F46:H46" si="24">SUM(F43:F45)</f>
        <v>1778000000</v>
      </c>
      <c r="G46" s="287">
        <f t="shared" si="24"/>
        <v>50000000</v>
      </c>
      <c r="H46" s="287">
        <f t="shared" si="24"/>
        <v>300000000</v>
      </c>
      <c r="I46" s="287">
        <f>SUM(I43:I45)</f>
        <v>1478000000</v>
      </c>
      <c r="J46" s="84"/>
      <c r="K46" s="45"/>
    </row>
    <row r="47" spans="1:11" s="31" customFormat="1" ht="24.75" customHeight="1" thickBot="1" x14ac:dyDescent="0.25">
      <c r="A47" s="274">
        <v>14</v>
      </c>
      <c r="B47" s="91" t="s">
        <v>213</v>
      </c>
      <c r="C47" s="288"/>
      <c r="D47" s="275" t="s">
        <v>831</v>
      </c>
      <c r="E47" s="293" t="s">
        <v>832</v>
      </c>
      <c r="F47" s="276">
        <v>600000000</v>
      </c>
      <c r="G47" s="276">
        <v>1571575.85</v>
      </c>
      <c r="H47" s="276">
        <v>300000000</v>
      </c>
      <c r="I47" s="314">
        <f>F47-H47</f>
        <v>300000000</v>
      </c>
      <c r="J47" s="279"/>
      <c r="K47" s="45"/>
    </row>
    <row r="48" spans="1:11" s="31" customFormat="1" ht="33.75" customHeight="1" thickBot="1" x14ac:dyDescent="0.3">
      <c r="A48" s="90"/>
      <c r="B48" s="92"/>
      <c r="C48" s="93"/>
      <c r="D48" s="94"/>
      <c r="E48" s="134" t="s">
        <v>241</v>
      </c>
      <c r="F48" s="287">
        <f t="shared" ref="F48:G48" si="25">SUM(F47)</f>
        <v>600000000</v>
      </c>
      <c r="G48" s="287">
        <f t="shared" si="25"/>
        <v>1571575.85</v>
      </c>
      <c r="H48" s="287">
        <f>SUM(H47)</f>
        <v>300000000</v>
      </c>
      <c r="I48" s="287">
        <f>SUM(I47)</f>
        <v>300000000</v>
      </c>
      <c r="J48" s="84"/>
      <c r="K48" s="45"/>
    </row>
    <row r="49" spans="1:11" s="31" customFormat="1" ht="5.25" customHeight="1" x14ac:dyDescent="0.25">
      <c r="A49" s="280"/>
      <c r="B49" s="281"/>
      <c r="C49" s="282"/>
      <c r="D49" s="283"/>
      <c r="E49" s="284"/>
      <c r="F49" s="285"/>
      <c r="G49" s="285"/>
      <c r="H49" s="285"/>
      <c r="I49" s="285"/>
      <c r="J49" s="286"/>
      <c r="K49" s="45"/>
    </row>
    <row r="50" spans="1:11" s="31" customFormat="1" ht="36" customHeight="1" thickBot="1" x14ac:dyDescent="0.25">
      <c r="A50" s="274">
        <v>15</v>
      </c>
      <c r="B50" s="91" t="s">
        <v>216</v>
      </c>
      <c r="C50" s="288"/>
      <c r="D50" s="275" t="s">
        <v>834</v>
      </c>
      <c r="E50" s="242" t="s">
        <v>835</v>
      </c>
      <c r="F50" s="276">
        <v>810000000</v>
      </c>
      <c r="G50" s="276">
        <v>700000</v>
      </c>
      <c r="H50" s="276">
        <v>400000000</v>
      </c>
      <c r="I50" s="314">
        <f>F50-H50</f>
        <v>410000000</v>
      </c>
      <c r="J50" s="279"/>
      <c r="K50" s="45"/>
    </row>
    <row r="51" spans="1:11" s="31" customFormat="1" ht="36" customHeight="1" thickBot="1" x14ac:dyDescent="0.3">
      <c r="A51" s="90"/>
      <c r="B51" s="92"/>
      <c r="C51" s="93"/>
      <c r="D51" s="94"/>
      <c r="E51" s="134" t="s">
        <v>833</v>
      </c>
      <c r="F51" s="287">
        <f t="shared" ref="F51:I51" si="26">SUM(F50)</f>
        <v>810000000</v>
      </c>
      <c r="G51" s="287">
        <f t="shared" si="26"/>
        <v>700000</v>
      </c>
      <c r="H51" s="287">
        <f t="shared" si="26"/>
        <v>400000000</v>
      </c>
      <c r="I51" s="287">
        <f t="shared" si="26"/>
        <v>410000000</v>
      </c>
      <c r="J51" s="84"/>
      <c r="K51" s="45"/>
    </row>
    <row r="52" spans="1:11" s="31" customFormat="1" ht="6" customHeight="1" x14ac:dyDescent="0.25">
      <c r="A52" s="280"/>
      <c r="B52" s="281"/>
      <c r="C52" s="282"/>
      <c r="D52" s="283"/>
      <c r="E52" s="284"/>
      <c r="F52" s="292"/>
      <c r="G52" s="292"/>
      <c r="H52" s="292"/>
      <c r="I52" s="292"/>
      <c r="J52" s="286"/>
      <c r="K52" s="45"/>
    </row>
    <row r="53" spans="1:11" s="31" customFormat="1" ht="32.25" customHeight="1" thickBot="1" x14ac:dyDescent="0.25">
      <c r="A53" s="270">
        <v>16</v>
      </c>
      <c r="B53" s="269" t="s">
        <v>214</v>
      </c>
      <c r="C53" s="309"/>
      <c r="D53" s="275" t="s">
        <v>837</v>
      </c>
      <c r="E53" s="293" t="s">
        <v>838</v>
      </c>
      <c r="F53" s="310">
        <v>200000000</v>
      </c>
      <c r="G53" s="310">
        <v>0</v>
      </c>
      <c r="H53" s="310">
        <v>100000000</v>
      </c>
      <c r="I53" s="314">
        <f>F53-H53</f>
        <v>100000000</v>
      </c>
      <c r="J53" s="311"/>
      <c r="K53" s="45"/>
    </row>
    <row r="54" spans="1:11" s="31" customFormat="1" ht="32.25" thickBot="1" x14ac:dyDescent="0.3">
      <c r="A54" s="90"/>
      <c r="B54" s="92"/>
      <c r="C54" s="93"/>
      <c r="D54" s="94"/>
      <c r="E54" s="134" t="s">
        <v>836</v>
      </c>
      <c r="F54" s="287">
        <f t="shared" ref="F54" si="27">SUM(F53)</f>
        <v>200000000</v>
      </c>
      <c r="G54" s="287">
        <f t="shared" ref="G54:G56" si="28">SUM(G53)</f>
        <v>0</v>
      </c>
      <c r="H54" s="287">
        <f t="shared" ref="H54" si="29">SUM(H53)</f>
        <v>100000000</v>
      </c>
      <c r="I54" s="287">
        <f t="shared" ref="I54" si="30">SUM(I53)</f>
        <v>100000000</v>
      </c>
      <c r="J54" s="84"/>
      <c r="K54" s="45"/>
    </row>
    <row r="55" spans="1:11" s="31" customFormat="1" ht="6.75" customHeight="1" thickBot="1" x14ac:dyDescent="0.3">
      <c r="A55" s="280"/>
      <c r="B55" s="281"/>
      <c r="C55" s="282"/>
      <c r="D55" s="283"/>
      <c r="E55" s="284"/>
      <c r="F55" s="285"/>
      <c r="G55" s="285"/>
      <c r="H55" s="285"/>
      <c r="I55" s="285"/>
      <c r="J55" s="286"/>
      <c r="K55" s="45"/>
    </row>
    <row r="56" spans="1:11" s="31" customFormat="1" ht="21.75" customHeight="1" x14ac:dyDescent="0.2">
      <c r="A56" s="85">
        <v>17</v>
      </c>
      <c r="B56" s="91" t="s">
        <v>210</v>
      </c>
      <c r="C56" s="288"/>
      <c r="D56" s="275" t="s">
        <v>1205</v>
      </c>
      <c r="E56" s="242" t="s">
        <v>1206</v>
      </c>
      <c r="F56" s="276">
        <v>2000000000</v>
      </c>
      <c r="G56" s="470">
        <f t="shared" si="28"/>
        <v>0</v>
      </c>
      <c r="H56" s="276">
        <v>2000000000</v>
      </c>
      <c r="I56" s="314">
        <f>F56-H56</f>
        <v>0</v>
      </c>
      <c r="J56" s="85"/>
      <c r="K56" s="45"/>
    </row>
    <row r="57" spans="1:11" s="31" customFormat="1" ht="33.75" customHeight="1" x14ac:dyDescent="0.25">
      <c r="A57" s="85"/>
      <c r="B57" s="271"/>
      <c r="C57" s="272"/>
      <c r="D57" s="123" t="s">
        <v>1207</v>
      </c>
      <c r="E57" s="225" t="s">
        <v>1208</v>
      </c>
      <c r="F57" s="88">
        <v>900000000</v>
      </c>
      <c r="G57" s="88">
        <v>112521342.51000001</v>
      </c>
      <c r="H57" s="88">
        <v>500000000</v>
      </c>
      <c r="I57" s="313">
        <f>F57-H57</f>
        <v>400000000</v>
      </c>
      <c r="J57" s="85"/>
      <c r="K57" s="45"/>
    </row>
    <row r="58" spans="1:11" s="31" customFormat="1" ht="18" customHeight="1" thickBot="1" x14ac:dyDescent="0.3">
      <c r="A58" s="274"/>
      <c r="B58" s="312"/>
      <c r="C58" s="309"/>
      <c r="D58" s="471" t="s">
        <v>1209</v>
      </c>
      <c r="E58" s="293" t="s">
        <v>1210</v>
      </c>
      <c r="F58" s="310">
        <v>170000000</v>
      </c>
      <c r="G58" s="310">
        <v>0</v>
      </c>
      <c r="H58" s="310">
        <v>170000000</v>
      </c>
      <c r="I58" s="472">
        <f t="shared" ref="I58" si="31">F58-H58-G58</f>
        <v>0</v>
      </c>
      <c r="J58" s="274"/>
      <c r="K58" s="45"/>
    </row>
    <row r="59" spans="1:11" s="31" customFormat="1" ht="33" customHeight="1" thickBot="1" x14ac:dyDescent="0.3">
      <c r="A59" s="90"/>
      <c r="B59" s="92"/>
      <c r="C59" s="93"/>
      <c r="D59" s="94"/>
      <c r="E59" s="134" t="s">
        <v>1060</v>
      </c>
      <c r="F59" s="287">
        <f>SUM(F56:F58)</f>
        <v>3070000000</v>
      </c>
      <c r="G59" s="287">
        <f>SUM(G56:G58)</f>
        <v>112521342.51000001</v>
      </c>
      <c r="H59" s="287">
        <f>SUM(H56:H58)</f>
        <v>2670000000</v>
      </c>
      <c r="I59" s="287">
        <f>SUM(I56:I58)</f>
        <v>400000000</v>
      </c>
      <c r="J59" s="473"/>
      <c r="K59" s="45"/>
    </row>
    <row r="60" spans="1:11" s="31" customFormat="1" ht="6.75" customHeight="1" x14ac:dyDescent="0.25">
      <c r="A60" s="280"/>
      <c r="B60" s="281"/>
      <c r="C60" s="282"/>
      <c r="D60" s="283"/>
      <c r="E60" s="284"/>
      <c r="F60" s="285"/>
      <c r="G60" s="285"/>
      <c r="H60" s="285"/>
      <c r="I60" s="285"/>
      <c r="J60" s="280"/>
      <c r="K60" s="45"/>
    </row>
    <row r="61" spans="1:11" s="31" customFormat="1" ht="24" customHeight="1" x14ac:dyDescent="0.2">
      <c r="A61" s="85"/>
      <c r="B61" s="68" t="s">
        <v>72</v>
      </c>
      <c r="C61" s="272"/>
      <c r="D61" s="123" t="s">
        <v>1484</v>
      </c>
      <c r="E61" s="225" t="s">
        <v>1485</v>
      </c>
      <c r="F61" s="88">
        <v>33000000</v>
      </c>
      <c r="G61" s="88">
        <v>0</v>
      </c>
      <c r="H61" s="88">
        <v>2000000</v>
      </c>
      <c r="I61" s="313">
        <f>F61-H61</f>
        <v>31000000</v>
      </c>
      <c r="J61" s="85"/>
      <c r="K61" s="45"/>
    </row>
    <row r="62" spans="1:11" s="31" customFormat="1" ht="36" customHeight="1" thickBot="1" x14ac:dyDescent="0.3">
      <c r="A62" s="274"/>
      <c r="B62" s="648"/>
      <c r="C62" s="288"/>
      <c r="D62" s="649"/>
      <c r="E62" s="68" t="s">
        <v>1012</v>
      </c>
      <c r="F62" s="650">
        <f t="shared" ref="F62:H62" si="32">SUM(F61)</f>
        <v>33000000</v>
      </c>
      <c r="G62" s="650">
        <f t="shared" si="32"/>
        <v>0</v>
      </c>
      <c r="H62" s="650">
        <f t="shared" si="32"/>
        <v>2000000</v>
      </c>
      <c r="I62" s="650">
        <f>SUM(I61)</f>
        <v>31000000</v>
      </c>
      <c r="J62" s="274"/>
      <c r="K62" s="45"/>
    </row>
    <row r="63" spans="1:11" s="27" customFormat="1" ht="24.75" customHeight="1" thickBot="1" x14ac:dyDescent="0.25">
      <c r="A63" s="596"/>
      <c r="B63" s="597"/>
      <c r="C63" s="89"/>
      <c r="D63" s="598"/>
      <c r="E63" s="599" t="s">
        <v>140</v>
      </c>
      <c r="F63" s="600">
        <f>F10+F7+F54+F51+F48+F46+F41+F38+F35+F32+F30+F27+F22+F19+F16+F13+F59+F62</f>
        <v>15789000000</v>
      </c>
      <c r="G63" s="600">
        <f>G10+G7+G54+G51+G48+G46+G41+G38+G35+G32+G30+G27+G22+G19+G16+G13+G59+G62</f>
        <v>291084465.77000004</v>
      </c>
      <c r="H63" s="600">
        <f>H10+H7+H54+H51+H48+H46+H41+H38+H35+H32+H30+H27+H22+H19+H16+H13+H59+H62</f>
        <v>9976145000</v>
      </c>
      <c r="I63" s="600">
        <f>I10+I7+I54+I51+I48+I46+I41+I38+I35+I32+I30+I27+I22+I19+I16+I13+I59+I62</f>
        <v>5812855000</v>
      </c>
      <c r="J63" s="84"/>
    </row>
    <row r="64" spans="1:11" s="27" customFormat="1" ht="18.75" customHeight="1" x14ac:dyDescent="0.2">
      <c r="A64" s="31"/>
      <c r="B64" s="40"/>
      <c r="C64" s="31"/>
      <c r="D64" s="37"/>
      <c r="E64" s="38"/>
      <c r="F64" s="35"/>
      <c r="G64" s="35"/>
      <c r="H64" s="35"/>
      <c r="I64" s="35"/>
    </row>
    <row r="65" spans="1:10" s="27" customFormat="1" ht="46.5" customHeight="1" x14ac:dyDescent="0.2">
      <c r="J65" s="138"/>
    </row>
    <row r="66" spans="1:10" s="27" customFormat="1" ht="39.75" customHeight="1" x14ac:dyDescent="0.2">
      <c r="J66" s="138"/>
    </row>
    <row r="67" spans="1:10" s="27" customFormat="1" ht="18.95" customHeight="1" x14ac:dyDescent="0.2">
      <c r="A67" s="31"/>
      <c r="B67" s="31"/>
      <c r="C67" s="31"/>
      <c r="D67" s="37"/>
      <c r="E67" s="39"/>
      <c r="F67" s="35"/>
      <c r="G67" s="35"/>
      <c r="H67" s="35"/>
      <c r="I67" s="35"/>
    </row>
    <row r="68" spans="1:10" s="27" customFormat="1" ht="18.95" customHeight="1" x14ac:dyDescent="0.2">
      <c r="A68" s="31"/>
      <c r="B68" s="31"/>
      <c r="C68" s="31"/>
      <c r="D68" s="37"/>
      <c r="E68" s="39"/>
      <c r="F68" s="35"/>
      <c r="G68" s="35"/>
      <c r="H68" s="35"/>
      <c r="I68" s="35"/>
    </row>
    <row r="69" spans="1:10" s="27" customFormat="1" ht="18.95" customHeight="1" x14ac:dyDescent="0.2">
      <c r="A69" s="31"/>
      <c r="B69" s="31"/>
      <c r="C69" s="31"/>
      <c r="D69" s="37"/>
      <c r="E69" s="38"/>
      <c r="F69" s="35"/>
      <c r="G69" s="35"/>
      <c r="H69" s="35"/>
      <c r="I69" s="35"/>
    </row>
    <row r="70" spans="1:10" s="27" customFormat="1" ht="18.95" customHeight="1" x14ac:dyDescent="0.2">
      <c r="A70" s="31"/>
      <c r="B70" s="31"/>
      <c r="C70" s="31"/>
      <c r="D70" s="37"/>
      <c r="E70" s="38"/>
      <c r="F70" s="35"/>
      <c r="G70" s="35"/>
      <c r="H70" s="35"/>
      <c r="I70" s="35"/>
    </row>
  </sheetData>
  <mergeCells count="4">
    <mergeCell ref="A1:J1"/>
    <mergeCell ref="A2:J2"/>
    <mergeCell ref="A3:J3"/>
    <mergeCell ref="A4:J4"/>
  </mergeCells>
  <pageMargins left="0.1" right="0.13" top="0.75" bottom="0.75" header="0.3" footer="0.3"/>
  <pageSetup firstPageNumber="41" orientation="landscape" useFirstPageNumber="1" r:id="rId1"/>
  <headerFooter>
    <oddFooter>&amp;C&amp;P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2"/>
  <sheetViews>
    <sheetView topLeftCell="A131" zoomScaleNormal="100" workbookViewId="0">
      <selection activeCell="E143" sqref="E143"/>
    </sheetView>
  </sheetViews>
  <sheetFormatPr defaultRowHeight="15" x14ac:dyDescent="0.25"/>
  <cols>
    <col min="1" max="1" width="11.5703125" customWidth="1"/>
    <col min="2" max="2" width="12.7109375" customWidth="1"/>
    <col min="3" max="3" width="34.85546875" customWidth="1"/>
    <col min="4" max="5" width="14.7109375" customWidth="1"/>
    <col min="6" max="6" width="14.140625" customWidth="1"/>
    <col min="7" max="7" width="14.7109375" customWidth="1"/>
    <col min="8" max="8" width="10" customWidth="1"/>
    <col min="10" max="10" width="14.28515625" bestFit="1" customWidth="1"/>
    <col min="12" max="12" width="13.140625" bestFit="1" customWidth="1"/>
  </cols>
  <sheetData>
    <row r="1" spans="1:8" x14ac:dyDescent="0.25">
      <c r="A1" s="660" t="s">
        <v>7</v>
      </c>
      <c r="B1" s="660"/>
      <c r="C1" s="660"/>
      <c r="D1" s="660"/>
      <c r="E1" s="660"/>
      <c r="F1" s="660"/>
      <c r="G1" s="660"/>
      <c r="H1" s="660"/>
    </row>
    <row r="2" spans="1:8" x14ac:dyDescent="0.25">
      <c r="A2" s="661" t="s">
        <v>542</v>
      </c>
      <c r="B2" s="661"/>
      <c r="C2" s="661"/>
      <c r="D2" s="661"/>
      <c r="E2" s="661"/>
      <c r="F2" s="661"/>
      <c r="G2" s="661"/>
      <c r="H2" s="661"/>
    </row>
    <row r="3" spans="1:8" x14ac:dyDescent="0.25">
      <c r="A3" s="660" t="s">
        <v>15</v>
      </c>
      <c r="B3" s="660"/>
      <c r="C3" s="660"/>
      <c r="D3" s="660"/>
      <c r="E3" s="660"/>
      <c r="F3" s="660"/>
      <c r="G3" s="660"/>
      <c r="H3" s="660"/>
    </row>
    <row r="4" spans="1:8" x14ac:dyDescent="0.25">
      <c r="A4" s="25"/>
      <c r="B4" s="25"/>
      <c r="C4" s="676"/>
      <c r="D4" s="676"/>
      <c r="E4" s="676"/>
      <c r="F4" s="676"/>
      <c r="G4" s="26"/>
    </row>
    <row r="5" spans="1:8" s="27" customFormat="1" ht="37.5" customHeight="1" x14ac:dyDescent="0.2">
      <c r="A5" s="63" t="s">
        <v>16</v>
      </c>
      <c r="B5" s="63" t="s">
        <v>17</v>
      </c>
      <c r="C5" s="63" t="s">
        <v>18</v>
      </c>
      <c r="D5" s="63" t="s">
        <v>541</v>
      </c>
      <c r="E5" s="63" t="s">
        <v>529</v>
      </c>
      <c r="F5" s="63" t="s">
        <v>19</v>
      </c>
      <c r="G5" s="63" t="s">
        <v>1487</v>
      </c>
      <c r="H5" s="63" t="s">
        <v>184</v>
      </c>
    </row>
    <row r="6" spans="1:8" s="29" customFormat="1" ht="24.75" customHeight="1" x14ac:dyDescent="0.25">
      <c r="A6" s="122" t="s">
        <v>277</v>
      </c>
      <c r="B6" s="73"/>
      <c r="C6" s="326" t="s">
        <v>39</v>
      </c>
      <c r="D6" s="226"/>
      <c r="E6" s="226"/>
      <c r="F6" s="227"/>
      <c r="G6" s="228"/>
      <c r="H6" s="34"/>
    </row>
    <row r="7" spans="1:8" s="29" customFormat="1" ht="27.75" customHeight="1" thickBot="1" x14ac:dyDescent="0.3">
      <c r="A7" s="82"/>
      <c r="B7" s="151" t="s">
        <v>667</v>
      </c>
      <c r="C7" s="202" t="s">
        <v>666</v>
      </c>
      <c r="D7" s="230">
        <v>57420000</v>
      </c>
      <c r="E7" s="231">
        <v>55825442</v>
      </c>
      <c r="F7" s="232">
        <v>23000000</v>
      </c>
      <c r="G7" s="163">
        <f>D7+F7</f>
        <v>80420000</v>
      </c>
      <c r="H7" s="232" t="s">
        <v>185</v>
      </c>
    </row>
    <row r="8" spans="1:8" s="29" customFormat="1" ht="25.5" customHeight="1" thickBot="1" x14ac:dyDescent="0.3">
      <c r="A8" s="111"/>
      <c r="B8" s="112"/>
      <c r="C8" s="291" t="s">
        <v>665</v>
      </c>
      <c r="D8" s="136">
        <f t="shared" ref="D8:F8" si="0">SUM(D7)</f>
        <v>57420000</v>
      </c>
      <c r="E8" s="136">
        <f t="shared" si="0"/>
        <v>55825442</v>
      </c>
      <c r="F8" s="136">
        <f t="shared" si="0"/>
        <v>23000000</v>
      </c>
      <c r="G8" s="136">
        <f>SUM(G7)</f>
        <v>80420000</v>
      </c>
      <c r="H8" s="236"/>
    </row>
    <row r="9" spans="1:8" s="29" customFormat="1" ht="6.75" customHeight="1" x14ac:dyDescent="0.25">
      <c r="A9" s="233"/>
      <c r="B9" s="233"/>
      <c r="C9" s="234"/>
      <c r="D9" s="226"/>
      <c r="E9" s="226"/>
      <c r="F9" s="227"/>
      <c r="G9" s="228"/>
      <c r="H9" s="34"/>
    </row>
    <row r="10" spans="1:8" s="29" customFormat="1" ht="15" customHeight="1" x14ac:dyDescent="0.25">
      <c r="A10" s="122" t="s">
        <v>285</v>
      </c>
      <c r="B10" s="233"/>
      <c r="C10" s="234" t="s">
        <v>25</v>
      </c>
      <c r="D10" s="226"/>
      <c r="E10" s="226"/>
      <c r="F10" s="227"/>
      <c r="G10" s="228"/>
      <c r="H10" s="34"/>
    </row>
    <row r="11" spans="1:8" s="29" customFormat="1" ht="15" customHeight="1" x14ac:dyDescent="0.25">
      <c r="A11" s="233"/>
      <c r="B11" s="124" t="s">
        <v>669</v>
      </c>
      <c r="C11" s="225" t="s">
        <v>670</v>
      </c>
      <c r="D11" s="237">
        <v>160000000</v>
      </c>
      <c r="E11" s="237">
        <v>143798680.83000001</v>
      </c>
      <c r="F11" s="237">
        <v>440000000</v>
      </c>
      <c r="G11" s="163">
        <f>D11+F11</f>
        <v>600000000</v>
      </c>
      <c r="H11" s="126" t="s">
        <v>185</v>
      </c>
    </row>
    <row r="12" spans="1:8" s="29" customFormat="1" ht="24" thickBot="1" x14ac:dyDescent="0.3">
      <c r="A12" s="199"/>
      <c r="B12" s="151" t="s">
        <v>671</v>
      </c>
      <c r="C12" s="240" t="s">
        <v>1050</v>
      </c>
      <c r="D12" s="241">
        <v>375000000</v>
      </c>
      <c r="E12" s="241">
        <f>796128719.65+188009707.6</f>
        <v>984138427.25</v>
      </c>
      <c r="F12" s="241">
        <v>700000000</v>
      </c>
      <c r="G12" s="163">
        <f>D12+F12</f>
        <v>1075000000</v>
      </c>
      <c r="H12" s="128" t="s">
        <v>1009</v>
      </c>
    </row>
    <row r="13" spans="1:8" s="29" customFormat="1" ht="15" customHeight="1" thickBot="1" x14ac:dyDescent="0.3">
      <c r="A13" s="111"/>
      <c r="B13" s="112"/>
      <c r="C13" s="291" t="s">
        <v>668</v>
      </c>
      <c r="D13" s="136">
        <f>SUM(D11:D12)</f>
        <v>535000000</v>
      </c>
      <c r="E13" s="136">
        <f>SUM(E11:E12)</f>
        <v>1127937108.0799999</v>
      </c>
      <c r="F13" s="136">
        <f>SUM(F11:F12)</f>
        <v>1140000000</v>
      </c>
      <c r="G13" s="238">
        <f>SUM(G11:G12)</f>
        <v>1675000000</v>
      </c>
      <c r="H13" s="113"/>
    </row>
    <row r="14" spans="1:8" s="29" customFormat="1" ht="6.75" customHeight="1" x14ac:dyDescent="0.25">
      <c r="A14" s="233"/>
      <c r="B14" s="233"/>
      <c r="C14" s="234"/>
      <c r="D14" s="222"/>
      <c r="E14" s="222"/>
      <c r="F14" s="222"/>
      <c r="G14" s="350"/>
      <c r="H14" s="34"/>
    </row>
    <row r="15" spans="1:8" s="29" customFormat="1" ht="22.5" customHeight="1" x14ac:dyDescent="0.25">
      <c r="A15" s="122" t="s">
        <v>304</v>
      </c>
      <c r="B15" s="73"/>
      <c r="C15" s="326" t="s">
        <v>202</v>
      </c>
      <c r="D15" s="214"/>
      <c r="E15" s="214"/>
      <c r="F15" s="214"/>
      <c r="G15" s="267"/>
      <c r="H15" s="28"/>
    </row>
    <row r="16" spans="1:8" s="29" customFormat="1" ht="35.25" thickBot="1" x14ac:dyDescent="0.3">
      <c r="A16" s="82"/>
      <c r="B16" s="151" t="s">
        <v>787</v>
      </c>
      <c r="C16" s="242" t="s">
        <v>789</v>
      </c>
      <c r="D16" s="154">
        <v>7700000</v>
      </c>
      <c r="E16" s="217">
        <v>0</v>
      </c>
      <c r="F16" s="154">
        <v>40000000</v>
      </c>
      <c r="G16" s="163">
        <f>D16+F16</f>
        <v>47700000</v>
      </c>
      <c r="H16" s="128" t="s">
        <v>1370</v>
      </c>
    </row>
    <row r="17" spans="1:8" s="29" customFormat="1" ht="24.75" customHeight="1" thickBot="1" x14ac:dyDescent="0.3">
      <c r="A17" s="111"/>
      <c r="B17" s="268"/>
      <c r="C17" s="291" t="s">
        <v>788</v>
      </c>
      <c r="D17" s="136">
        <f t="shared" ref="D17:F17" si="1">SUM(D16)</f>
        <v>7700000</v>
      </c>
      <c r="E17" s="136">
        <f t="shared" si="1"/>
        <v>0</v>
      </c>
      <c r="F17" s="136">
        <f t="shared" si="1"/>
        <v>40000000</v>
      </c>
      <c r="G17" s="136">
        <f>SUM(G16)</f>
        <v>47700000</v>
      </c>
      <c r="H17" s="113"/>
    </row>
    <row r="18" spans="1:8" s="29" customFormat="1" ht="6" customHeight="1" x14ac:dyDescent="0.25">
      <c r="A18" s="233"/>
      <c r="B18" s="349"/>
      <c r="C18" s="325"/>
      <c r="D18" s="222"/>
      <c r="E18" s="222"/>
      <c r="F18" s="222"/>
      <c r="G18" s="222"/>
      <c r="H18" s="34"/>
    </row>
    <row r="19" spans="1:8" s="29" customFormat="1" ht="21" x14ac:dyDescent="0.25">
      <c r="A19" s="122" t="s">
        <v>976</v>
      </c>
      <c r="B19" s="124"/>
      <c r="C19" s="326" t="s">
        <v>977</v>
      </c>
      <c r="D19" s="214"/>
      <c r="E19" s="214"/>
      <c r="F19" s="214"/>
      <c r="G19" s="214"/>
      <c r="H19" s="28"/>
    </row>
    <row r="20" spans="1:8" s="29" customFormat="1" ht="23.25" x14ac:dyDescent="0.25">
      <c r="A20" s="59"/>
      <c r="B20" s="151" t="s">
        <v>1334</v>
      </c>
      <c r="C20" s="340" t="s">
        <v>1337</v>
      </c>
      <c r="D20" s="130">
        <v>0</v>
      </c>
      <c r="E20" s="130">
        <v>0</v>
      </c>
      <c r="F20" s="130">
        <v>200000000</v>
      </c>
      <c r="G20" s="132">
        <f t="shared" ref="G20:G21" si="2">D20+F20</f>
        <v>200000000</v>
      </c>
      <c r="H20" s="126" t="s">
        <v>185</v>
      </c>
    </row>
    <row r="21" spans="1:8" s="29" customFormat="1" ht="14.25" customHeight="1" thickBot="1" x14ac:dyDescent="0.3">
      <c r="A21" s="294"/>
      <c r="B21" s="151" t="s">
        <v>1051</v>
      </c>
      <c r="C21" s="202" t="s">
        <v>1052</v>
      </c>
      <c r="D21" s="154">
        <v>250000000</v>
      </c>
      <c r="E21" s="154">
        <f>5000000+136913603.06</f>
        <v>141913603.06</v>
      </c>
      <c r="F21" s="154">
        <v>0</v>
      </c>
      <c r="G21" s="132">
        <f t="shared" si="2"/>
        <v>250000000</v>
      </c>
      <c r="H21" s="127" t="s">
        <v>975</v>
      </c>
    </row>
    <row r="22" spans="1:8" s="29" customFormat="1" ht="21.75" thickBot="1" x14ac:dyDescent="0.3">
      <c r="A22" s="303"/>
      <c r="B22" s="268"/>
      <c r="C22" s="291" t="s">
        <v>978</v>
      </c>
      <c r="D22" s="136">
        <f t="shared" ref="D22:F22" si="3">SUM(D20:D21)</f>
        <v>250000000</v>
      </c>
      <c r="E22" s="136">
        <f t="shared" si="3"/>
        <v>141913603.06</v>
      </c>
      <c r="F22" s="136">
        <f t="shared" si="3"/>
        <v>200000000</v>
      </c>
      <c r="G22" s="136">
        <f>SUM(G20:G21)</f>
        <v>450000000</v>
      </c>
      <c r="H22" s="324"/>
    </row>
    <row r="23" spans="1:8" s="29" customFormat="1" ht="6" customHeight="1" x14ac:dyDescent="0.25">
      <c r="A23" s="296"/>
      <c r="B23" s="349"/>
      <c r="C23" s="325"/>
      <c r="D23" s="222"/>
      <c r="E23" s="222"/>
      <c r="F23" s="222"/>
      <c r="G23" s="222"/>
      <c r="H23" s="323"/>
    </row>
    <row r="24" spans="1:8" s="29" customFormat="1" ht="21" x14ac:dyDescent="0.25">
      <c r="A24" s="122" t="s">
        <v>349</v>
      </c>
      <c r="B24" s="124"/>
      <c r="C24" s="326" t="s">
        <v>59</v>
      </c>
      <c r="D24" s="214"/>
      <c r="E24" s="214"/>
      <c r="F24" s="214"/>
      <c r="G24" s="214"/>
      <c r="H24" s="322"/>
    </row>
    <row r="25" spans="1:8" s="29" customFormat="1" ht="24" thickBot="1" x14ac:dyDescent="0.3">
      <c r="A25" s="294"/>
      <c r="B25" s="151" t="s">
        <v>1006</v>
      </c>
      <c r="C25" s="202" t="s">
        <v>1007</v>
      </c>
      <c r="D25" s="154">
        <v>0</v>
      </c>
      <c r="E25" s="154">
        <v>0</v>
      </c>
      <c r="F25" s="154">
        <v>7500000</v>
      </c>
      <c r="G25" s="163">
        <f t="shared" ref="G25" si="4">D25+F25</f>
        <v>7500000</v>
      </c>
      <c r="H25" s="126" t="s">
        <v>975</v>
      </c>
    </row>
    <row r="26" spans="1:8" s="29" customFormat="1" ht="21.75" thickBot="1" x14ac:dyDescent="0.3">
      <c r="A26" s="303"/>
      <c r="B26" s="268"/>
      <c r="C26" s="291" t="s">
        <v>1008</v>
      </c>
      <c r="D26" s="136">
        <f t="shared" ref="D26:F26" si="5">SUM(D25)</f>
        <v>0</v>
      </c>
      <c r="E26" s="136">
        <f t="shared" si="5"/>
        <v>0</v>
      </c>
      <c r="F26" s="136">
        <f t="shared" si="5"/>
        <v>7500000</v>
      </c>
      <c r="G26" s="136">
        <f>SUM(G25)</f>
        <v>7500000</v>
      </c>
      <c r="H26" s="324"/>
    </row>
    <row r="27" spans="1:8" s="29" customFormat="1" ht="6.75" customHeight="1" x14ac:dyDescent="0.25">
      <c r="A27" s="559"/>
      <c r="B27" s="559"/>
      <c r="C27" s="560"/>
      <c r="D27" s="561"/>
      <c r="E27" s="561"/>
      <c r="F27" s="562"/>
      <c r="G27" s="563"/>
      <c r="H27" s="257"/>
    </row>
    <row r="28" spans="1:8" s="29" customFormat="1" ht="15" customHeight="1" x14ac:dyDescent="0.25">
      <c r="A28" s="387" t="s">
        <v>230</v>
      </c>
      <c r="B28" s="233"/>
      <c r="C28" s="234" t="s">
        <v>204</v>
      </c>
      <c r="D28" s="226"/>
      <c r="E28" s="226"/>
      <c r="F28" s="227"/>
      <c r="G28" s="228"/>
      <c r="H28" s="34"/>
    </row>
    <row r="29" spans="1:8" s="29" customFormat="1" ht="24" thickBot="1" x14ac:dyDescent="0.3">
      <c r="A29" s="332"/>
      <c r="B29" s="151" t="s">
        <v>888</v>
      </c>
      <c r="C29" s="242" t="s">
        <v>889</v>
      </c>
      <c r="D29" s="328">
        <v>2000000</v>
      </c>
      <c r="E29" s="328">
        <v>5000000</v>
      </c>
      <c r="F29" s="333">
        <v>3000000</v>
      </c>
      <c r="G29" s="163">
        <f>D29+F29</f>
        <v>5000000</v>
      </c>
      <c r="H29" s="126" t="s">
        <v>185</v>
      </c>
    </row>
    <row r="30" spans="1:8" s="29" customFormat="1" ht="15" customHeight="1" thickBot="1" x14ac:dyDescent="0.3">
      <c r="A30" s="111"/>
      <c r="B30" s="112"/>
      <c r="C30" s="291" t="s">
        <v>890</v>
      </c>
      <c r="D30" s="136">
        <f>SUM(D29)</f>
        <v>2000000</v>
      </c>
      <c r="E30" s="136">
        <f>SUM(E29)</f>
        <v>5000000</v>
      </c>
      <c r="F30" s="136">
        <f>SUM(F29)</f>
        <v>3000000</v>
      </c>
      <c r="G30" s="136">
        <f>SUM(G29)</f>
        <v>5000000</v>
      </c>
      <c r="H30" s="113"/>
    </row>
    <row r="31" spans="1:8" s="29" customFormat="1" ht="6" customHeight="1" x14ac:dyDescent="0.25">
      <c r="A31" s="233"/>
      <c r="B31" s="233"/>
      <c r="C31" s="234"/>
      <c r="D31" s="327"/>
      <c r="E31" s="327"/>
      <c r="F31" s="330"/>
      <c r="G31" s="331"/>
      <c r="H31" s="34"/>
    </row>
    <row r="32" spans="1:8" s="29" customFormat="1" x14ac:dyDescent="0.25">
      <c r="A32" s="122" t="s">
        <v>232</v>
      </c>
      <c r="B32" s="124"/>
      <c r="C32" s="229" t="s">
        <v>63</v>
      </c>
      <c r="D32" s="226"/>
      <c r="E32" s="226"/>
      <c r="F32" s="227"/>
      <c r="G32" s="228"/>
      <c r="H32" s="34"/>
    </row>
    <row r="33" spans="1:8" s="29" customFormat="1" ht="23.25" x14ac:dyDescent="0.25">
      <c r="A33" s="73"/>
      <c r="B33" s="124" t="s">
        <v>886</v>
      </c>
      <c r="C33" s="254" t="s">
        <v>887</v>
      </c>
      <c r="D33" s="133">
        <v>0</v>
      </c>
      <c r="E33" s="133">
        <v>10000000</v>
      </c>
      <c r="F33" s="133">
        <v>10000000</v>
      </c>
      <c r="G33" s="132">
        <f>D33+F33</f>
        <v>10000000</v>
      </c>
      <c r="H33" s="127" t="s">
        <v>975</v>
      </c>
    </row>
    <row r="34" spans="1:8" s="29" customFormat="1" ht="24" thickBot="1" x14ac:dyDescent="0.3">
      <c r="A34" s="82"/>
      <c r="B34" s="124" t="s">
        <v>1054</v>
      </c>
      <c r="C34" s="202" t="s">
        <v>1055</v>
      </c>
      <c r="D34" s="344">
        <v>30000000</v>
      </c>
      <c r="E34" s="344">
        <v>1000000</v>
      </c>
      <c r="F34" s="344">
        <v>1000000</v>
      </c>
      <c r="G34" s="132">
        <f>D34+F34</f>
        <v>31000000</v>
      </c>
      <c r="H34" s="127" t="s">
        <v>975</v>
      </c>
    </row>
    <row r="35" spans="1:8" s="29" customFormat="1" ht="15" customHeight="1" thickBot="1" x14ac:dyDescent="0.3">
      <c r="A35" s="111"/>
      <c r="B35" s="112"/>
      <c r="C35" s="235" t="s">
        <v>824</v>
      </c>
      <c r="D35" s="136">
        <f t="shared" ref="D35:F35" si="6">SUM(D33:D34)</f>
        <v>30000000</v>
      </c>
      <c r="E35" s="136">
        <f t="shared" si="6"/>
        <v>11000000</v>
      </c>
      <c r="F35" s="136">
        <f t="shared" si="6"/>
        <v>11000000</v>
      </c>
      <c r="G35" s="136">
        <f>SUM(G33:G34)</f>
        <v>41000000</v>
      </c>
      <c r="H35" s="329"/>
    </row>
    <row r="36" spans="1:8" s="29" customFormat="1" ht="6" customHeight="1" x14ac:dyDescent="0.25">
      <c r="A36" s="73"/>
      <c r="B36" s="73"/>
      <c r="C36" s="229"/>
      <c r="D36" s="107"/>
      <c r="E36" s="107"/>
      <c r="F36" s="108"/>
      <c r="G36" s="109"/>
      <c r="H36" s="28"/>
    </row>
    <row r="37" spans="1:8" s="29" customFormat="1" ht="15" customHeight="1" x14ac:dyDescent="0.25">
      <c r="A37" s="216" t="s">
        <v>364</v>
      </c>
      <c r="B37" s="28"/>
      <c r="C37" s="68" t="s">
        <v>64</v>
      </c>
      <c r="D37" s="214"/>
      <c r="E37" s="214"/>
      <c r="F37" s="214"/>
      <c r="G37" s="214"/>
      <c r="H37" s="28"/>
    </row>
    <row r="38" spans="1:8" s="29" customFormat="1" ht="23.25" x14ac:dyDescent="0.25">
      <c r="A38" s="28"/>
      <c r="B38" s="124" t="s">
        <v>634</v>
      </c>
      <c r="C38" s="225" t="s">
        <v>635</v>
      </c>
      <c r="D38" s="130">
        <v>15000000</v>
      </c>
      <c r="E38" s="130">
        <f>4144979.35+15213107.66</f>
        <v>19358087.010000002</v>
      </c>
      <c r="F38" s="130">
        <v>5000000</v>
      </c>
      <c r="G38" s="132">
        <f>D38+F38</f>
        <v>20000000</v>
      </c>
      <c r="H38" s="128" t="s">
        <v>1009</v>
      </c>
    </row>
    <row r="39" spans="1:8" s="29" customFormat="1" ht="15" customHeight="1" thickBot="1" x14ac:dyDescent="0.3">
      <c r="A39" s="28"/>
      <c r="B39" s="124" t="s">
        <v>637</v>
      </c>
      <c r="C39" s="245" t="s">
        <v>636</v>
      </c>
      <c r="D39" s="246">
        <v>1318766709.1099999</v>
      </c>
      <c r="E39" s="246">
        <v>1336517812.99</v>
      </c>
      <c r="F39" s="246">
        <v>2000000000</v>
      </c>
      <c r="G39" s="247">
        <f>D39+F39</f>
        <v>3318766709.1099997</v>
      </c>
      <c r="H39" s="128" t="s">
        <v>1009</v>
      </c>
    </row>
    <row r="40" spans="1:8" s="29" customFormat="1" ht="15" customHeight="1" thickBot="1" x14ac:dyDescent="0.3">
      <c r="A40" s="164"/>
      <c r="B40" s="165"/>
      <c r="C40" s="134" t="s">
        <v>526</v>
      </c>
      <c r="D40" s="167">
        <f>SUM(D38:D39)</f>
        <v>1333766709.1099999</v>
      </c>
      <c r="E40" s="167">
        <f>SUM(E38:E39)</f>
        <v>1355875900</v>
      </c>
      <c r="F40" s="167">
        <f>SUM(F38:F39)</f>
        <v>2005000000</v>
      </c>
      <c r="G40" s="167">
        <f>SUM(G38:G39)</f>
        <v>3338766709.1099997</v>
      </c>
      <c r="H40" s="113"/>
    </row>
    <row r="41" spans="1:8" s="29" customFormat="1" ht="6.75" customHeight="1" x14ac:dyDescent="0.25">
      <c r="A41" s="233"/>
      <c r="B41" s="233"/>
      <c r="C41" s="234"/>
      <c r="D41" s="226"/>
      <c r="E41" s="226"/>
      <c r="F41" s="227"/>
      <c r="G41" s="228"/>
      <c r="H41" s="34"/>
    </row>
    <row r="42" spans="1:8" s="29" customFormat="1" ht="15" customHeight="1" x14ac:dyDescent="0.25">
      <c r="A42" s="122" t="s">
        <v>373</v>
      </c>
      <c r="B42" s="233"/>
      <c r="C42" s="325" t="s">
        <v>66</v>
      </c>
      <c r="D42" s="226"/>
      <c r="E42" s="226"/>
      <c r="F42" s="227"/>
      <c r="G42" s="228"/>
      <c r="H42" s="34"/>
    </row>
    <row r="43" spans="1:8" s="29" customFormat="1" ht="24" customHeight="1" x14ac:dyDescent="0.25">
      <c r="A43" s="73"/>
      <c r="B43" s="124" t="s">
        <v>700</v>
      </c>
      <c r="C43" s="254" t="s">
        <v>699</v>
      </c>
      <c r="D43" s="583">
        <v>70000000</v>
      </c>
      <c r="E43" s="583">
        <v>71370000</v>
      </c>
      <c r="F43" s="583">
        <v>50000000</v>
      </c>
      <c r="G43" s="132">
        <f>D43+F43</f>
        <v>120000000</v>
      </c>
      <c r="H43" s="126" t="s">
        <v>185</v>
      </c>
    </row>
    <row r="44" spans="1:8" s="29" customFormat="1" ht="24" customHeight="1" x14ac:dyDescent="0.25">
      <c r="A44" s="73"/>
      <c r="B44" s="124" t="s">
        <v>1401</v>
      </c>
      <c r="C44" s="254" t="s">
        <v>1402</v>
      </c>
      <c r="D44" s="583">
        <v>15000000</v>
      </c>
      <c r="E44" s="411">
        <v>0</v>
      </c>
      <c r="F44" s="583">
        <v>10000000</v>
      </c>
      <c r="G44" s="132">
        <f>D44+F44</f>
        <v>25000000</v>
      </c>
      <c r="H44" s="126" t="s">
        <v>185</v>
      </c>
    </row>
    <row r="45" spans="1:8" s="29" customFormat="1" ht="24" customHeight="1" x14ac:dyDescent="0.25">
      <c r="A45" s="73"/>
      <c r="B45" s="124" t="s">
        <v>950</v>
      </c>
      <c r="C45" s="225" t="s">
        <v>949</v>
      </c>
      <c r="D45" s="133">
        <v>2000000</v>
      </c>
      <c r="E45" s="133">
        <v>0</v>
      </c>
      <c r="F45" s="133">
        <v>50000000</v>
      </c>
      <c r="G45" s="132">
        <f t="shared" ref="G45:G46" si="7">D45+F45</f>
        <v>52000000</v>
      </c>
      <c r="H45" s="126" t="s">
        <v>185</v>
      </c>
    </row>
    <row r="46" spans="1:8" s="29" customFormat="1" ht="24" customHeight="1" thickBot="1" x14ac:dyDescent="0.3">
      <c r="A46" s="82"/>
      <c r="B46" s="151" t="s">
        <v>951</v>
      </c>
      <c r="C46" s="202" t="s">
        <v>952</v>
      </c>
      <c r="D46" s="344">
        <v>0</v>
      </c>
      <c r="E46" s="344">
        <v>0</v>
      </c>
      <c r="F46" s="344">
        <v>15000000</v>
      </c>
      <c r="G46" s="163">
        <f t="shared" si="7"/>
        <v>15000000</v>
      </c>
      <c r="H46" s="127" t="s">
        <v>185</v>
      </c>
    </row>
    <row r="47" spans="1:8" s="29" customFormat="1" ht="24" customHeight="1" thickBot="1" x14ac:dyDescent="0.3">
      <c r="A47" s="111"/>
      <c r="B47" s="112"/>
      <c r="C47" s="291" t="s">
        <v>698</v>
      </c>
      <c r="D47" s="136">
        <f t="shared" ref="D47:F47" si="8">SUM(D43:D46)</f>
        <v>87000000</v>
      </c>
      <c r="E47" s="136">
        <f t="shared" si="8"/>
        <v>71370000</v>
      </c>
      <c r="F47" s="136">
        <f t="shared" si="8"/>
        <v>125000000</v>
      </c>
      <c r="G47" s="136">
        <f>SUM(G43:G46)</f>
        <v>212000000</v>
      </c>
      <c r="H47" s="113"/>
    </row>
    <row r="48" spans="1:8" s="29" customFormat="1" ht="7.5" customHeight="1" x14ac:dyDescent="0.25">
      <c r="A48" s="233"/>
      <c r="B48" s="233"/>
      <c r="C48" s="234"/>
      <c r="D48" s="226"/>
      <c r="E48" s="226"/>
      <c r="F48" s="227"/>
      <c r="G48" s="228"/>
      <c r="H48" s="34"/>
    </row>
    <row r="49" spans="1:8" s="29" customFormat="1" ht="23.25" customHeight="1" x14ac:dyDescent="0.25">
      <c r="A49" s="122" t="s">
        <v>376</v>
      </c>
      <c r="B49" s="233"/>
      <c r="C49" s="325" t="s">
        <v>205</v>
      </c>
      <c r="D49" s="226"/>
      <c r="E49" s="226"/>
      <c r="F49" s="227"/>
      <c r="G49" s="228"/>
      <c r="H49" s="34"/>
    </row>
    <row r="50" spans="1:8" s="29" customFormat="1" ht="23.25" x14ac:dyDescent="0.25">
      <c r="A50" s="73"/>
      <c r="B50" s="124" t="s">
        <v>702</v>
      </c>
      <c r="C50" s="245" t="s">
        <v>703</v>
      </c>
      <c r="D50" s="583">
        <v>100000000</v>
      </c>
      <c r="E50" s="583">
        <f>60000000+500000000</f>
        <v>560000000</v>
      </c>
      <c r="F50" s="583">
        <f>700000000-93000000</f>
        <v>607000000</v>
      </c>
      <c r="G50" s="132">
        <f>D50+F50</f>
        <v>707000000</v>
      </c>
      <c r="H50" s="128" t="s">
        <v>1009</v>
      </c>
    </row>
    <row r="51" spans="1:8" s="29" customFormat="1" ht="21" customHeight="1" x14ac:dyDescent="0.25">
      <c r="A51" s="73"/>
      <c r="B51" s="124" t="s">
        <v>885</v>
      </c>
      <c r="C51" s="225" t="s">
        <v>884</v>
      </c>
      <c r="D51" s="583">
        <v>5000000</v>
      </c>
      <c r="E51" s="583">
        <v>8500000</v>
      </c>
      <c r="F51" s="583">
        <v>3500000</v>
      </c>
      <c r="G51" s="132">
        <f>D51+F51</f>
        <v>8500000</v>
      </c>
      <c r="H51" s="128" t="s">
        <v>975</v>
      </c>
    </row>
    <row r="52" spans="1:8" s="29" customFormat="1" ht="21" customHeight="1" thickBot="1" x14ac:dyDescent="0.3">
      <c r="A52" s="82"/>
      <c r="B52" s="124" t="s">
        <v>1056</v>
      </c>
      <c r="C52" s="293" t="s">
        <v>1057</v>
      </c>
      <c r="D52" s="584">
        <v>20000000</v>
      </c>
      <c r="E52" s="584">
        <f>3457142.86+6000000</f>
        <v>9457142.8599999994</v>
      </c>
      <c r="F52" s="585">
        <v>0</v>
      </c>
      <c r="G52" s="132">
        <f>D52+F52</f>
        <v>20000000</v>
      </c>
      <c r="H52" s="128" t="s">
        <v>975</v>
      </c>
    </row>
    <row r="53" spans="1:8" s="29" customFormat="1" ht="24" customHeight="1" thickBot="1" x14ac:dyDescent="0.3">
      <c r="A53" s="111"/>
      <c r="B53" s="112"/>
      <c r="C53" s="291" t="s">
        <v>701</v>
      </c>
      <c r="D53" s="136">
        <f t="shared" ref="D53:F53" si="9">SUM(D50:D52)</f>
        <v>125000000</v>
      </c>
      <c r="E53" s="136">
        <f t="shared" si="9"/>
        <v>577957142.86000001</v>
      </c>
      <c r="F53" s="136">
        <f t="shared" si="9"/>
        <v>610500000</v>
      </c>
      <c r="G53" s="136">
        <f>SUM(G50:G52)</f>
        <v>735500000</v>
      </c>
      <c r="H53" s="236"/>
    </row>
    <row r="54" spans="1:8" s="29" customFormat="1" ht="6.75" customHeight="1" x14ac:dyDescent="0.25">
      <c r="A54" s="559"/>
      <c r="B54" s="559"/>
      <c r="C54" s="601"/>
      <c r="D54" s="602"/>
      <c r="E54" s="602"/>
      <c r="F54" s="602"/>
      <c r="G54" s="602"/>
      <c r="H54" s="602"/>
    </row>
    <row r="55" spans="1:8" s="29" customFormat="1" ht="21" x14ac:dyDescent="0.25">
      <c r="A55" s="387" t="s">
        <v>993</v>
      </c>
      <c r="B55" s="349"/>
      <c r="C55" s="325" t="s">
        <v>190</v>
      </c>
      <c r="D55" s="222"/>
      <c r="E55" s="222"/>
      <c r="F55" s="222"/>
      <c r="G55" s="222"/>
      <c r="H55" s="34"/>
    </row>
    <row r="56" spans="1:8" s="29" customFormat="1" ht="33.75" x14ac:dyDescent="0.25">
      <c r="A56" s="73"/>
      <c r="B56" s="124" t="s">
        <v>1449</v>
      </c>
      <c r="C56" s="340" t="s">
        <v>1450</v>
      </c>
      <c r="D56" s="130">
        <v>0</v>
      </c>
      <c r="E56" s="130">
        <v>5000000</v>
      </c>
      <c r="F56" s="130">
        <v>5000000</v>
      </c>
      <c r="G56" s="132">
        <f>D56+F56</f>
        <v>5000000</v>
      </c>
      <c r="H56" s="126" t="s">
        <v>975</v>
      </c>
    </row>
    <row r="57" spans="1:8" s="29" customFormat="1" ht="21.75" thickBot="1" x14ac:dyDescent="0.3">
      <c r="A57" s="480"/>
      <c r="B57" s="481"/>
      <c r="C57" s="482" t="s">
        <v>812</v>
      </c>
      <c r="D57" s="483">
        <f t="shared" ref="D57:F57" si="10">SUM(D56)</f>
        <v>0</v>
      </c>
      <c r="E57" s="483">
        <f t="shared" si="10"/>
        <v>5000000</v>
      </c>
      <c r="F57" s="483">
        <f t="shared" si="10"/>
        <v>5000000</v>
      </c>
      <c r="G57" s="483">
        <f>SUM(G56)</f>
        <v>5000000</v>
      </c>
      <c r="H57" s="484"/>
    </row>
    <row r="58" spans="1:8" s="29" customFormat="1" ht="6" customHeight="1" x14ac:dyDescent="0.25">
      <c r="A58" s="233"/>
      <c r="B58" s="233"/>
      <c r="C58" s="325"/>
      <c r="D58" s="222"/>
      <c r="E58" s="222"/>
      <c r="F58" s="222"/>
      <c r="G58" s="222"/>
      <c r="H58" s="222"/>
    </row>
    <row r="59" spans="1:8" s="29" customFormat="1" ht="24" customHeight="1" x14ac:dyDescent="0.25">
      <c r="A59" s="122" t="s">
        <v>382</v>
      </c>
      <c r="B59" s="73"/>
      <c r="C59" s="326" t="s">
        <v>68</v>
      </c>
      <c r="D59" s="214"/>
      <c r="E59" s="214"/>
      <c r="F59" s="214"/>
      <c r="G59" s="214"/>
      <c r="H59" s="214"/>
    </row>
    <row r="60" spans="1:8" s="29" customFormat="1" ht="24" customHeight="1" x14ac:dyDescent="0.25">
      <c r="A60" s="73"/>
      <c r="B60" s="124" t="s">
        <v>899</v>
      </c>
      <c r="C60" s="225" t="s">
        <v>897</v>
      </c>
      <c r="D60" s="339">
        <v>2500000</v>
      </c>
      <c r="E60" s="130">
        <v>2000000</v>
      </c>
      <c r="F60" s="130">
        <v>1000000</v>
      </c>
      <c r="G60" s="132">
        <f t="shared" ref="G60:G62" si="11">D60+F60</f>
        <v>3500000</v>
      </c>
      <c r="H60" s="127" t="s">
        <v>185</v>
      </c>
    </row>
    <row r="61" spans="1:8" s="29" customFormat="1" ht="15" customHeight="1" thickBot="1" x14ac:dyDescent="0.3">
      <c r="A61" s="73"/>
      <c r="B61" s="124" t="s">
        <v>900</v>
      </c>
      <c r="C61" s="245" t="s">
        <v>898</v>
      </c>
      <c r="D61" s="339">
        <v>3000000</v>
      </c>
      <c r="E61" s="130">
        <v>17000000</v>
      </c>
      <c r="F61" s="130">
        <v>17000000</v>
      </c>
      <c r="G61" s="132">
        <f t="shared" si="11"/>
        <v>20000000</v>
      </c>
      <c r="H61" s="126" t="s">
        <v>185</v>
      </c>
    </row>
    <row r="62" spans="1:8" s="29" customFormat="1" ht="24" thickBot="1" x14ac:dyDescent="0.3">
      <c r="A62" s="82"/>
      <c r="B62" s="124" t="s">
        <v>1068</v>
      </c>
      <c r="C62" s="225" t="s">
        <v>1069</v>
      </c>
      <c r="D62" s="370">
        <v>6000000</v>
      </c>
      <c r="E62" s="154">
        <v>25000000</v>
      </c>
      <c r="F62" s="154">
        <v>25000000</v>
      </c>
      <c r="G62" s="132">
        <f t="shared" si="11"/>
        <v>31000000</v>
      </c>
      <c r="H62" s="128" t="s">
        <v>975</v>
      </c>
    </row>
    <row r="63" spans="1:8" s="29" customFormat="1" ht="24" customHeight="1" thickBot="1" x14ac:dyDescent="0.3">
      <c r="A63" s="111"/>
      <c r="B63" s="112"/>
      <c r="C63" s="291" t="s">
        <v>896</v>
      </c>
      <c r="D63" s="136">
        <f>SUM(D60:D62)</f>
        <v>11500000</v>
      </c>
      <c r="E63" s="136">
        <f>SUM(E60:E62)</f>
        <v>44000000</v>
      </c>
      <c r="F63" s="136">
        <f>SUM(F60:F62)</f>
        <v>43000000</v>
      </c>
      <c r="G63" s="136">
        <f>SUM(G60:G62)</f>
        <v>54500000</v>
      </c>
      <c r="H63" s="236"/>
    </row>
    <row r="64" spans="1:8" s="29" customFormat="1" ht="6.75" customHeight="1" x14ac:dyDescent="0.25">
      <c r="A64" s="233"/>
      <c r="B64" s="233"/>
      <c r="C64" s="234"/>
      <c r="D64" s="226"/>
      <c r="E64" s="226"/>
      <c r="F64" s="227"/>
      <c r="G64" s="228"/>
      <c r="H64" s="34"/>
    </row>
    <row r="65" spans="1:8" s="29" customFormat="1" ht="15" customHeight="1" x14ac:dyDescent="0.25">
      <c r="A65" s="250" t="s">
        <v>392</v>
      </c>
      <c r="B65" s="151"/>
      <c r="C65" s="234" t="s">
        <v>209</v>
      </c>
      <c r="D65" s="226"/>
      <c r="E65" s="226"/>
      <c r="F65" s="227"/>
      <c r="G65" s="228"/>
      <c r="H65" s="34"/>
    </row>
    <row r="66" spans="1:8" s="29" customFormat="1" ht="25.5" customHeight="1" x14ac:dyDescent="0.25">
      <c r="A66" s="233"/>
      <c r="B66" s="151" t="s">
        <v>1496</v>
      </c>
      <c r="C66" s="254" t="s">
        <v>718</v>
      </c>
      <c r="D66" s="255">
        <v>7000000</v>
      </c>
      <c r="E66" s="256">
        <v>0</v>
      </c>
      <c r="F66" s="130">
        <v>2600000</v>
      </c>
      <c r="G66" s="132">
        <f>D66+F66</f>
        <v>9600000</v>
      </c>
      <c r="H66" s="126" t="s">
        <v>185</v>
      </c>
    </row>
    <row r="67" spans="1:8" s="29" customFormat="1" ht="15" customHeight="1" thickBot="1" x14ac:dyDescent="0.3">
      <c r="A67" s="73"/>
      <c r="B67" s="124" t="s">
        <v>719</v>
      </c>
      <c r="C67" s="225" t="s">
        <v>720</v>
      </c>
      <c r="D67" s="255">
        <v>16500000</v>
      </c>
      <c r="E67" s="256">
        <v>0</v>
      </c>
      <c r="F67" s="130">
        <v>23000000</v>
      </c>
      <c r="G67" s="132">
        <f>D67+F67</f>
        <v>39500000</v>
      </c>
      <c r="H67" s="126" t="s">
        <v>185</v>
      </c>
    </row>
    <row r="68" spans="1:8" s="29" customFormat="1" ht="26.25" customHeight="1" thickBot="1" x14ac:dyDescent="0.3">
      <c r="A68" s="111"/>
      <c r="B68" s="112"/>
      <c r="C68" s="291" t="s">
        <v>721</v>
      </c>
      <c r="D68" s="136">
        <f>SUM(D66:D67)</f>
        <v>23500000</v>
      </c>
      <c r="E68" s="136">
        <f>SUM(E66:E67)</f>
        <v>0</v>
      </c>
      <c r="F68" s="136">
        <f>SUM(F66:F67)</f>
        <v>25600000</v>
      </c>
      <c r="G68" s="136">
        <f>SUM(G66:G67)</f>
        <v>49100000</v>
      </c>
      <c r="H68" s="113"/>
    </row>
    <row r="69" spans="1:8" s="29" customFormat="1" ht="6.75" customHeight="1" x14ac:dyDescent="0.25">
      <c r="A69" s="250"/>
      <c r="B69" s="34"/>
      <c r="C69" s="34"/>
      <c r="D69" s="34"/>
      <c r="E69" s="34"/>
      <c r="F69" s="34"/>
      <c r="G69" s="34"/>
      <c r="H69" s="34"/>
    </row>
    <row r="70" spans="1:8" s="29" customFormat="1" ht="21" x14ac:dyDescent="0.25">
      <c r="A70" s="358" t="s">
        <v>236</v>
      </c>
      <c r="B70" s="28"/>
      <c r="C70" s="326" t="s">
        <v>210</v>
      </c>
      <c r="D70" s="59"/>
      <c r="E70" s="59"/>
      <c r="F70" s="59"/>
      <c r="G70" s="59"/>
      <c r="H70" s="59"/>
    </row>
    <row r="71" spans="1:8" s="29" customFormat="1" ht="15" customHeight="1" x14ac:dyDescent="0.25">
      <c r="A71" s="358"/>
      <c r="B71" s="124" t="s">
        <v>1211</v>
      </c>
      <c r="C71" s="245" t="s">
        <v>1212</v>
      </c>
      <c r="D71" s="177">
        <v>75000000</v>
      </c>
      <c r="E71" s="177">
        <v>0</v>
      </c>
      <c r="F71" s="177">
        <v>96000000</v>
      </c>
      <c r="G71" s="132">
        <f>D71+F71</f>
        <v>171000000</v>
      </c>
      <c r="H71" s="126" t="s">
        <v>185</v>
      </c>
    </row>
    <row r="72" spans="1:8" s="29" customFormat="1" ht="24" thickBot="1" x14ac:dyDescent="0.3">
      <c r="A72" s="372"/>
      <c r="B72" s="474" t="s">
        <v>1059</v>
      </c>
      <c r="C72" s="475" t="s">
        <v>1058</v>
      </c>
      <c r="D72" s="373">
        <v>18681000000</v>
      </c>
      <c r="E72" s="373">
        <f>15939265387.08+15000000</f>
        <v>15954265387.08</v>
      </c>
      <c r="F72" s="333">
        <v>2500000000</v>
      </c>
      <c r="G72" s="476">
        <f>D72+F72</f>
        <v>21181000000</v>
      </c>
      <c r="H72" s="477" t="s">
        <v>1009</v>
      </c>
    </row>
    <row r="73" spans="1:8" s="29" customFormat="1" ht="21.75" thickBot="1" x14ac:dyDescent="0.3">
      <c r="A73" s="374"/>
      <c r="B73" s="165"/>
      <c r="C73" s="291" t="s">
        <v>1060</v>
      </c>
      <c r="D73" s="375">
        <f t="shared" ref="D73:F73" si="12">SUM(D71:D72)</f>
        <v>18756000000</v>
      </c>
      <c r="E73" s="375">
        <f t="shared" si="12"/>
        <v>15954265387.08</v>
      </c>
      <c r="F73" s="375">
        <f t="shared" si="12"/>
        <v>2596000000</v>
      </c>
      <c r="G73" s="375">
        <f>SUM(G71:G72)</f>
        <v>21352000000</v>
      </c>
      <c r="H73" s="376"/>
    </row>
    <row r="74" spans="1:8" s="29" customFormat="1" ht="6.75" customHeight="1" x14ac:dyDescent="0.25">
      <c r="A74" s="250"/>
      <c r="B74" s="34"/>
      <c r="C74" s="325"/>
      <c r="D74" s="416"/>
      <c r="E74" s="416"/>
      <c r="F74" s="416"/>
      <c r="G74" s="416"/>
      <c r="H74" s="296"/>
    </row>
    <row r="75" spans="1:8" s="29" customFormat="1" x14ac:dyDescent="0.25">
      <c r="A75" s="358" t="s">
        <v>399</v>
      </c>
      <c r="B75" s="233"/>
      <c r="C75" s="326" t="s">
        <v>71</v>
      </c>
      <c r="D75" s="251"/>
      <c r="E75" s="251"/>
      <c r="F75" s="251"/>
      <c r="G75" s="251"/>
      <c r="H75" s="323"/>
    </row>
    <row r="76" spans="1:8" s="29" customFormat="1" ht="23.25" x14ac:dyDescent="0.25">
      <c r="A76" s="73"/>
      <c r="B76" s="124" t="s">
        <v>1335</v>
      </c>
      <c r="C76" s="493" t="s">
        <v>892</v>
      </c>
      <c r="D76" s="132">
        <v>0</v>
      </c>
      <c r="E76" s="132">
        <v>3000000</v>
      </c>
      <c r="F76" s="132">
        <v>3000000</v>
      </c>
      <c r="G76" s="132">
        <f>D76+F76</f>
        <v>3000000</v>
      </c>
      <c r="H76" s="371" t="s">
        <v>975</v>
      </c>
    </row>
    <row r="77" spans="1:8" s="29" customFormat="1" ht="24" thickBot="1" x14ac:dyDescent="0.3">
      <c r="A77" s="82"/>
      <c r="B77" s="474" t="s">
        <v>1336</v>
      </c>
      <c r="C77" s="542" t="s">
        <v>893</v>
      </c>
      <c r="D77" s="163">
        <v>0</v>
      </c>
      <c r="E77" s="163">
        <v>1000000</v>
      </c>
      <c r="F77" s="163">
        <v>1000000</v>
      </c>
      <c r="G77" s="163">
        <f>D77+F77</f>
        <v>1000000</v>
      </c>
      <c r="H77" s="371" t="s">
        <v>975</v>
      </c>
    </row>
    <row r="78" spans="1:8" s="29" customFormat="1" ht="21.75" thickBot="1" x14ac:dyDescent="0.3">
      <c r="A78" s="111"/>
      <c r="B78" s="112"/>
      <c r="C78" s="291" t="s">
        <v>1048</v>
      </c>
      <c r="D78" s="136">
        <f>SUM(D76:D77)</f>
        <v>0</v>
      </c>
      <c r="E78" s="136">
        <f>SUM(E76:E77)</f>
        <v>4000000</v>
      </c>
      <c r="F78" s="136">
        <f t="shared" ref="F78:G78" si="13">SUM(F76:F77)</f>
        <v>4000000</v>
      </c>
      <c r="G78" s="136">
        <f t="shared" si="13"/>
        <v>4000000</v>
      </c>
      <c r="H78" s="369"/>
    </row>
    <row r="79" spans="1:8" s="29" customFormat="1" ht="6" customHeight="1" x14ac:dyDescent="0.25">
      <c r="A79" s="651"/>
      <c r="B79" s="642"/>
      <c r="C79" s="601"/>
      <c r="D79" s="652"/>
      <c r="E79" s="652"/>
      <c r="F79" s="652"/>
      <c r="G79" s="652"/>
      <c r="H79" s="644"/>
    </row>
    <row r="80" spans="1:8" s="29" customFormat="1" ht="22.5" customHeight="1" x14ac:dyDescent="0.25">
      <c r="A80" s="250" t="s">
        <v>401</v>
      </c>
      <c r="B80" s="34"/>
      <c r="C80" s="325" t="s">
        <v>72</v>
      </c>
      <c r="D80" s="34"/>
      <c r="E80" s="34"/>
      <c r="F80" s="34"/>
      <c r="G80" s="34"/>
      <c r="H80" s="34"/>
    </row>
    <row r="81" spans="1:8" s="29" customFormat="1" ht="27" customHeight="1" thickBot="1" x14ac:dyDescent="0.3">
      <c r="A81" s="110"/>
      <c r="B81" s="474" t="s">
        <v>1448</v>
      </c>
      <c r="C81" s="202" t="s">
        <v>1013</v>
      </c>
      <c r="D81" s="178">
        <v>0</v>
      </c>
      <c r="E81" s="178">
        <v>0</v>
      </c>
      <c r="F81" s="178">
        <v>6000000</v>
      </c>
      <c r="G81" s="163">
        <f>D81+F81</f>
        <v>6000000</v>
      </c>
      <c r="H81" s="127" t="s">
        <v>185</v>
      </c>
    </row>
    <row r="82" spans="1:8" s="29" customFormat="1" ht="21.75" thickBot="1" x14ac:dyDescent="0.3">
      <c r="A82" s="164"/>
      <c r="B82" s="165"/>
      <c r="C82" s="291" t="s">
        <v>1012</v>
      </c>
      <c r="D82" s="136">
        <f t="shared" ref="D82:F82" si="14">SUM(D81)</f>
        <v>0</v>
      </c>
      <c r="E82" s="136">
        <f t="shared" si="14"/>
        <v>0</v>
      </c>
      <c r="F82" s="136">
        <f t="shared" si="14"/>
        <v>6000000</v>
      </c>
      <c r="G82" s="136">
        <f>SUM(G81)</f>
        <v>6000000</v>
      </c>
      <c r="H82" s="113"/>
    </row>
    <row r="83" spans="1:8" s="29" customFormat="1" ht="6.75" customHeight="1" x14ac:dyDescent="0.25">
      <c r="A83" s="233"/>
      <c r="B83" s="233"/>
      <c r="C83" s="325"/>
      <c r="D83" s="222"/>
      <c r="E83" s="222"/>
      <c r="F83" s="222"/>
      <c r="G83" s="222"/>
      <c r="H83" s="34"/>
    </row>
    <row r="84" spans="1:8" s="29" customFormat="1" ht="15" customHeight="1" x14ac:dyDescent="0.25">
      <c r="A84" s="358" t="s">
        <v>1144</v>
      </c>
      <c r="B84" s="124"/>
      <c r="C84" s="325" t="s">
        <v>282</v>
      </c>
      <c r="D84" s="178">
        <v>0</v>
      </c>
      <c r="E84" s="178">
        <v>0</v>
      </c>
      <c r="F84" s="222"/>
      <c r="G84" s="222"/>
      <c r="H84" s="28"/>
    </row>
    <row r="85" spans="1:8" s="29" customFormat="1" ht="23.25" x14ac:dyDescent="0.25">
      <c r="A85" s="250"/>
      <c r="B85" s="124" t="s">
        <v>1245</v>
      </c>
      <c r="C85" s="497" t="s">
        <v>1339</v>
      </c>
      <c r="D85" s="178">
        <v>0</v>
      </c>
      <c r="E85" s="178">
        <v>0</v>
      </c>
      <c r="F85" s="251">
        <v>3435000</v>
      </c>
      <c r="G85" s="132">
        <f>D85+F85</f>
        <v>3435000</v>
      </c>
      <c r="H85" s="127" t="s">
        <v>185</v>
      </c>
    </row>
    <row r="86" spans="1:8" s="29" customFormat="1" ht="23.25" x14ac:dyDescent="0.25">
      <c r="A86" s="250"/>
      <c r="B86" s="124" t="s">
        <v>1347</v>
      </c>
      <c r="C86" s="497" t="s">
        <v>1340</v>
      </c>
      <c r="D86" s="178">
        <v>0</v>
      </c>
      <c r="E86" s="178">
        <v>0</v>
      </c>
      <c r="F86" s="251">
        <v>1374000</v>
      </c>
      <c r="G86" s="132">
        <f t="shared" ref="G86:G100" si="15">D86+F86</f>
        <v>1374000</v>
      </c>
      <c r="H86" s="127" t="s">
        <v>185</v>
      </c>
    </row>
    <row r="87" spans="1:8" s="29" customFormat="1" ht="23.25" x14ac:dyDescent="0.25">
      <c r="A87" s="250"/>
      <c r="B87" s="124" t="s">
        <v>1348</v>
      </c>
      <c r="C87" s="497" t="s">
        <v>1341</v>
      </c>
      <c r="D87" s="178">
        <v>0</v>
      </c>
      <c r="E87" s="178">
        <v>0</v>
      </c>
      <c r="F87" s="251">
        <v>550000</v>
      </c>
      <c r="G87" s="132">
        <f t="shared" si="15"/>
        <v>550000</v>
      </c>
      <c r="H87" s="127" t="s">
        <v>185</v>
      </c>
    </row>
    <row r="88" spans="1:8" s="29" customFormat="1" ht="15" customHeight="1" x14ac:dyDescent="0.25">
      <c r="A88" s="250"/>
      <c r="B88" s="124" t="s">
        <v>1349</v>
      </c>
      <c r="C88" s="497" t="s">
        <v>1342</v>
      </c>
      <c r="D88" s="178">
        <v>0</v>
      </c>
      <c r="E88" s="178">
        <v>0</v>
      </c>
      <c r="F88" s="251">
        <v>882000</v>
      </c>
      <c r="G88" s="132">
        <f t="shared" si="15"/>
        <v>882000</v>
      </c>
      <c r="H88" s="127" t="s">
        <v>185</v>
      </c>
    </row>
    <row r="89" spans="1:8" s="29" customFormat="1" ht="15" customHeight="1" x14ac:dyDescent="0.25">
      <c r="A89" s="250"/>
      <c r="B89" s="124" t="s">
        <v>1350</v>
      </c>
      <c r="C89" s="497" t="s">
        <v>1343</v>
      </c>
      <c r="D89" s="178">
        <v>0</v>
      </c>
      <c r="E89" s="178">
        <v>0</v>
      </c>
      <c r="F89" s="251">
        <v>2290000</v>
      </c>
      <c r="G89" s="132">
        <f t="shared" si="15"/>
        <v>2290000</v>
      </c>
      <c r="H89" s="127" t="s">
        <v>185</v>
      </c>
    </row>
    <row r="90" spans="1:8" s="29" customFormat="1" ht="15" customHeight="1" x14ac:dyDescent="0.25">
      <c r="A90" s="250"/>
      <c r="B90" s="124" t="s">
        <v>1351</v>
      </c>
      <c r="C90" s="497" t="s">
        <v>1344</v>
      </c>
      <c r="D90" s="178">
        <v>0</v>
      </c>
      <c r="E90" s="178">
        <v>0</v>
      </c>
      <c r="F90" s="251">
        <v>458000</v>
      </c>
      <c r="G90" s="132">
        <f t="shared" si="15"/>
        <v>458000</v>
      </c>
      <c r="H90" s="127" t="s">
        <v>185</v>
      </c>
    </row>
    <row r="91" spans="1:8" s="29" customFormat="1" ht="15" customHeight="1" x14ac:dyDescent="0.25">
      <c r="A91" s="250"/>
      <c r="B91" s="124" t="s">
        <v>1352</v>
      </c>
      <c r="C91" s="497" t="s">
        <v>1345</v>
      </c>
      <c r="D91" s="178">
        <v>0</v>
      </c>
      <c r="E91" s="178">
        <v>0</v>
      </c>
      <c r="F91" s="251">
        <v>400000</v>
      </c>
      <c r="G91" s="132">
        <f t="shared" si="15"/>
        <v>400000</v>
      </c>
      <c r="H91" s="127" t="s">
        <v>185</v>
      </c>
    </row>
    <row r="92" spans="1:8" s="29" customFormat="1" ht="15" customHeight="1" x14ac:dyDescent="0.25">
      <c r="A92" s="250"/>
      <c r="B92" s="124" t="s">
        <v>1353</v>
      </c>
      <c r="C92" s="497" t="s">
        <v>1346</v>
      </c>
      <c r="D92" s="178">
        <v>0</v>
      </c>
      <c r="E92" s="178">
        <v>0</v>
      </c>
      <c r="F92" s="251">
        <v>458000</v>
      </c>
      <c r="G92" s="132">
        <f t="shared" si="15"/>
        <v>458000</v>
      </c>
      <c r="H92" s="127" t="s">
        <v>185</v>
      </c>
    </row>
    <row r="93" spans="1:8" s="29" customFormat="1" ht="23.25" x14ac:dyDescent="0.25">
      <c r="A93" s="250"/>
      <c r="B93" s="124" t="s">
        <v>1361</v>
      </c>
      <c r="C93" s="497" t="s">
        <v>1354</v>
      </c>
      <c r="D93" s="178">
        <v>0</v>
      </c>
      <c r="E93" s="178">
        <v>0</v>
      </c>
      <c r="F93" s="251">
        <v>4695000</v>
      </c>
      <c r="G93" s="132">
        <f t="shared" si="15"/>
        <v>4695000</v>
      </c>
      <c r="H93" s="127" t="s">
        <v>185</v>
      </c>
    </row>
    <row r="94" spans="1:8" s="29" customFormat="1" ht="23.25" x14ac:dyDescent="0.25">
      <c r="A94" s="250"/>
      <c r="B94" s="124" t="s">
        <v>1362</v>
      </c>
      <c r="C94" s="497" t="s">
        <v>1355</v>
      </c>
      <c r="D94" s="178">
        <v>0</v>
      </c>
      <c r="E94" s="178">
        <v>0</v>
      </c>
      <c r="F94" s="251">
        <v>6538000</v>
      </c>
      <c r="G94" s="132">
        <f t="shared" si="15"/>
        <v>6538000</v>
      </c>
      <c r="H94" s="127" t="s">
        <v>185</v>
      </c>
    </row>
    <row r="95" spans="1:8" s="29" customFormat="1" ht="15" customHeight="1" x14ac:dyDescent="0.25">
      <c r="A95" s="250"/>
      <c r="B95" s="124" t="s">
        <v>1363</v>
      </c>
      <c r="C95" s="497" t="s">
        <v>1356</v>
      </c>
      <c r="D95" s="178">
        <v>0</v>
      </c>
      <c r="E95" s="178">
        <v>0</v>
      </c>
      <c r="F95" s="251">
        <v>172000</v>
      </c>
      <c r="G95" s="132">
        <f t="shared" si="15"/>
        <v>172000</v>
      </c>
      <c r="H95" s="127" t="s">
        <v>185</v>
      </c>
    </row>
    <row r="96" spans="1:8" s="29" customFormat="1" ht="15" customHeight="1" x14ac:dyDescent="0.25">
      <c r="A96" s="250"/>
      <c r="B96" s="124" t="s">
        <v>1364</v>
      </c>
      <c r="C96" s="497" t="s">
        <v>1357</v>
      </c>
      <c r="D96" s="178">
        <v>0</v>
      </c>
      <c r="E96" s="178">
        <v>0</v>
      </c>
      <c r="F96" s="251">
        <v>1557000</v>
      </c>
      <c r="G96" s="132">
        <f t="shared" si="15"/>
        <v>1557000</v>
      </c>
      <c r="H96" s="127" t="s">
        <v>185</v>
      </c>
    </row>
    <row r="97" spans="1:10" s="29" customFormat="1" ht="15" customHeight="1" x14ac:dyDescent="0.25">
      <c r="A97" s="250"/>
      <c r="B97" s="124" t="s">
        <v>1365</v>
      </c>
      <c r="C97" s="497" t="s">
        <v>1358</v>
      </c>
      <c r="D97" s="178">
        <v>0</v>
      </c>
      <c r="E97" s="178">
        <v>0</v>
      </c>
      <c r="F97" s="251">
        <v>572000</v>
      </c>
      <c r="G97" s="132">
        <f t="shared" si="15"/>
        <v>572000</v>
      </c>
      <c r="H97" s="127" t="s">
        <v>185</v>
      </c>
    </row>
    <row r="98" spans="1:10" s="29" customFormat="1" ht="15" customHeight="1" x14ac:dyDescent="0.25">
      <c r="A98" s="250"/>
      <c r="B98" s="124" t="s">
        <v>1366</v>
      </c>
      <c r="C98" s="497" t="s">
        <v>1359</v>
      </c>
      <c r="D98" s="178">
        <v>0</v>
      </c>
      <c r="E98" s="178">
        <v>0</v>
      </c>
      <c r="F98" s="251">
        <v>1563000</v>
      </c>
      <c r="G98" s="132">
        <f t="shared" si="15"/>
        <v>1563000</v>
      </c>
      <c r="H98" s="127" t="s">
        <v>185</v>
      </c>
    </row>
    <row r="99" spans="1:10" s="29" customFormat="1" ht="15" customHeight="1" x14ac:dyDescent="0.25">
      <c r="A99" s="250"/>
      <c r="B99" s="124" t="s">
        <v>1367</v>
      </c>
      <c r="C99" s="497" t="s">
        <v>1360</v>
      </c>
      <c r="D99" s="178">
        <v>0</v>
      </c>
      <c r="E99" s="178">
        <v>0</v>
      </c>
      <c r="F99" s="251">
        <v>5667000</v>
      </c>
      <c r="G99" s="132">
        <f t="shared" si="15"/>
        <v>5667000</v>
      </c>
      <c r="H99" s="127" t="s">
        <v>185</v>
      </c>
      <c r="J99" s="540"/>
    </row>
    <row r="100" spans="1:10" s="29" customFormat="1" ht="23.25" x14ac:dyDescent="0.25">
      <c r="A100" s="250"/>
      <c r="B100" s="124" t="s">
        <v>1369</v>
      </c>
      <c r="C100" s="497" t="s">
        <v>1368</v>
      </c>
      <c r="D100" s="178">
        <v>0</v>
      </c>
      <c r="E100" s="178">
        <v>0</v>
      </c>
      <c r="F100" s="251">
        <v>145000</v>
      </c>
      <c r="G100" s="132">
        <f t="shared" si="15"/>
        <v>145000</v>
      </c>
      <c r="H100" s="127" t="s">
        <v>185</v>
      </c>
    </row>
    <row r="101" spans="1:10" s="29" customFormat="1" ht="23.25" x14ac:dyDescent="0.25">
      <c r="A101" s="233"/>
      <c r="B101" s="124" t="s">
        <v>1234</v>
      </c>
      <c r="C101" s="497" t="s">
        <v>1233</v>
      </c>
      <c r="D101" s="178">
        <v>0</v>
      </c>
      <c r="E101" s="178">
        <v>0</v>
      </c>
      <c r="F101" s="543">
        <v>100000000</v>
      </c>
      <c r="G101" s="132">
        <f>D101+F101</f>
        <v>100000000</v>
      </c>
      <c r="H101" s="127" t="s">
        <v>185</v>
      </c>
    </row>
    <row r="102" spans="1:10" s="29" customFormat="1" ht="23.25" x14ac:dyDescent="0.25">
      <c r="A102" s="73"/>
      <c r="B102" s="124" t="s">
        <v>1236</v>
      </c>
      <c r="C102" s="340" t="s">
        <v>1235</v>
      </c>
      <c r="D102" s="177">
        <v>0</v>
      </c>
      <c r="E102" s="177">
        <v>0</v>
      </c>
      <c r="F102" s="132">
        <v>95000000</v>
      </c>
      <c r="G102" s="132">
        <f t="shared" ref="G102:G107" si="16">D102+F102</f>
        <v>95000000</v>
      </c>
      <c r="H102" s="126" t="s">
        <v>185</v>
      </c>
    </row>
    <row r="103" spans="1:10" s="29" customFormat="1" ht="56.25" x14ac:dyDescent="0.25">
      <c r="A103" s="73"/>
      <c r="B103" s="124" t="s">
        <v>1238</v>
      </c>
      <c r="C103" s="340" t="s">
        <v>1237</v>
      </c>
      <c r="D103" s="177">
        <v>0</v>
      </c>
      <c r="E103" s="177">
        <v>0</v>
      </c>
      <c r="F103" s="132">
        <v>35800000</v>
      </c>
      <c r="G103" s="132">
        <f t="shared" si="16"/>
        <v>35800000</v>
      </c>
      <c r="H103" s="126" t="s">
        <v>185</v>
      </c>
    </row>
    <row r="104" spans="1:10" s="29" customFormat="1" ht="23.25" x14ac:dyDescent="0.25">
      <c r="A104" s="233"/>
      <c r="B104" s="124" t="s">
        <v>1240</v>
      </c>
      <c r="C104" s="497" t="s">
        <v>1239</v>
      </c>
      <c r="D104" s="178">
        <v>0</v>
      </c>
      <c r="E104" s="178">
        <v>0</v>
      </c>
      <c r="F104" s="543">
        <v>9000000</v>
      </c>
      <c r="G104" s="132">
        <f t="shared" si="16"/>
        <v>9000000</v>
      </c>
      <c r="H104" s="127" t="s">
        <v>185</v>
      </c>
      <c r="J104" s="541"/>
    </row>
    <row r="105" spans="1:10" s="29" customFormat="1" ht="23.25" x14ac:dyDescent="0.25">
      <c r="A105" s="233"/>
      <c r="B105" s="124" t="s">
        <v>1241</v>
      </c>
      <c r="C105" s="497" t="s">
        <v>1230</v>
      </c>
      <c r="D105" s="178">
        <v>0</v>
      </c>
      <c r="E105" s="178">
        <v>0</v>
      </c>
      <c r="F105" s="543">
        <v>25000000</v>
      </c>
      <c r="G105" s="132">
        <f t="shared" si="16"/>
        <v>25000000</v>
      </c>
      <c r="H105" s="127" t="s">
        <v>185</v>
      </c>
    </row>
    <row r="106" spans="1:10" s="29" customFormat="1" ht="33.75" x14ac:dyDescent="0.25">
      <c r="A106" s="233"/>
      <c r="B106" s="124" t="s">
        <v>1243</v>
      </c>
      <c r="C106" s="497" t="s">
        <v>1242</v>
      </c>
      <c r="D106" s="178">
        <v>0</v>
      </c>
      <c r="E106" s="178">
        <v>0</v>
      </c>
      <c r="F106" s="543">
        <v>61500000</v>
      </c>
      <c r="G106" s="132">
        <f t="shared" si="16"/>
        <v>61500000</v>
      </c>
      <c r="H106" s="127" t="s">
        <v>185</v>
      </c>
    </row>
    <row r="107" spans="1:10" s="29" customFormat="1" ht="24" thickBot="1" x14ac:dyDescent="0.3">
      <c r="A107" s="199"/>
      <c r="B107" s="474" t="s">
        <v>1451</v>
      </c>
      <c r="C107" s="498" t="s">
        <v>1244</v>
      </c>
      <c r="D107" s="178">
        <v>0</v>
      </c>
      <c r="E107" s="178">
        <v>0</v>
      </c>
      <c r="F107" s="544">
        <v>160000000</v>
      </c>
      <c r="G107" s="163">
        <f t="shared" si="16"/>
        <v>160000000</v>
      </c>
      <c r="H107" s="127" t="s">
        <v>185</v>
      </c>
    </row>
    <row r="108" spans="1:10" s="29" customFormat="1" ht="21.75" thickBot="1" x14ac:dyDescent="0.3">
      <c r="A108" s="111"/>
      <c r="B108" s="499"/>
      <c r="C108" s="291" t="s">
        <v>1231</v>
      </c>
      <c r="D108" s="136">
        <f t="shared" ref="D108:F108" si="17">SUM(D85:D107)</f>
        <v>0</v>
      </c>
      <c r="E108" s="136">
        <f t="shared" si="17"/>
        <v>0</v>
      </c>
      <c r="F108" s="136">
        <f t="shared" si="17"/>
        <v>517056000</v>
      </c>
      <c r="G108" s="136">
        <f>SUM(G85:G107)</f>
        <v>517056000</v>
      </c>
      <c r="H108" s="324"/>
    </row>
    <row r="109" spans="1:10" s="29" customFormat="1" ht="6" customHeight="1" x14ac:dyDescent="0.25">
      <c r="A109" s="233"/>
      <c r="B109" s="296"/>
      <c r="C109" s="497"/>
      <c r="D109" s="251"/>
      <c r="E109" s="251"/>
      <c r="F109" s="251"/>
      <c r="G109" s="251"/>
      <c r="H109" s="323"/>
    </row>
    <row r="110" spans="1:10" s="29" customFormat="1" ht="15" customHeight="1" x14ac:dyDescent="0.25">
      <c r="A110" s="122" t="s">
        <v>415</v>
      </c>
      <c r="B110" s="73"/>
      <c r="C110" s="326" t="s">
        <v>74</v>
      </c>
      <c r="D110" s="214"/>
      <c r="E110" s="214"/>
      <c r="F110" s="214"/>
      <c r="G110" s="214"/>
      <c r="H110" s="28"/>
    </row>
    <row r="111" spans="1:10" s="29" customFormat="1" ht="23.25" x14ac:dyDescent="0.25">
      <c r="A111" s="73"/>
      <c r="B111" s="151" t="s">
        <v>904</v>
      </c>
      <c r="C111" s="340" t="s">
        <v>907</v>
      </c>
      <c r="D111" s="130">
        <v>0</v>
      </c>
      <c r="E111" s="130">
        <v>61449867.600000001</v>
      </c>
      <c r="F111" s="130">
        <v>62000000</v>
      </c>
      <c r="G111" s="163">
        <f t="shared" ref="G111:G113" si="18">D111+F111</f>
        <v>62000000</v>
      </c>
      <c r="H111" s="128" t="s">
        <v>1009</v>
      </c>
    </row>
    <row r="112" spans="1:10" s="29" customFormat="1" ht="23.25" x14ac:dyDescent="0.25">
      <c r="A112" s="73"/>
      <c r="B112" s="151" t="s">
        <v>905</v>
      </c>
      <c r="C112" s="340" t="s">
        <v>909</v>
      </c>
      <c r="D112" s="130">
        <v>0</v>
      </c>
      <c r="E112" s="130">
        <v>67198989.379999995</v>
      </c>
      <c r="F112" s="130">
        <v>67500000</v>
      </c>
      <c r="G112" s="163">
        <f t="shared" si="18"/>
        <v>67500000</v>
      </c>
      <c r="H112" s="128" t="s">
        <v>1009</v>
      </c>
    </row>
    <row r="113" spans="1:9" s="29" customFormat="1" ht="24" thickBot="1" x14ac:dyDescent="0.3">
      <c r="A113" s="82"/>
      <c r="B113" s="151" t="s">
        <v>906</v>
      </c>
      <c r="C113" s="341" t="s">
        <v>908</v>
      </c>
      <c r="D113" s="154">
        <v>0</v>
      </c>
      <c r="E113" s="154">
        <v>72797515.329999998</v>
      </c>
      <c r="F113" s="154">
        <v>73000000</v>
      </c>
      <c r="G113" s="163">
        <f t="shared" si="18"/>
        <v>73000000</v>
      </c>
      <c r="H113" s="128" t="s">
        <v>1009</v>
      </c>
    </row>
    <row r="114" spans="1:9" s="29" customFormat="1" ht="22.5" customHeight="1" thickBot="1" x14ac:dyDescent="0.3">
      <c r="A114" s="111"/>
      <c r="B114" s="112"/>
      <c r="C114" s="291" t="s">
        <v>903</v>
      </c>
      <c r="D114" s="136">
        <f t="shared" ref="D114" si="19">SUM(D113)</f>
        <v>0</v>
      </c>
      <c r="E114" s="136">
        <f>SUM(E111:E113)</f>
        <v>201446372.31</v>
      </c>
      <c r="F114" s="136">
        <f>SUM(F111:F113)</f>
        <v>202500000</v>
      </c>
      <c r="G114" s="136">
        <f t="shared" ref="G114" si="20">SUM(G111:G113)</f>
        <v>202500000</v>
      </c>
      <c r="H114" s="113"/>
    </row>
    <row r="115" spans="1:9" s="29" customFormat="1" ht="5.25" customHeight="1" x14ac:dyDescent="0.25">
      <c r="A115" s="199"/>
      <c r="B115" s="199"/>
      <c r="C115" s="378"/>
      <c r="D115" s="262"/>
      <c r="E115" s="262"/>
      <c r="F115" s="262"/>
      <c r="G115" s="262"/>
      <c r="H115" s="261"/>
    </row>
    <row r="116" spans="1:9" s="29" customFormat="1" ht="23.25" customHeight="1" x14ac:dyDescent="0.25">
      <c r="A116" s="358" t="s">
        <v>417</v>
      </c>
      <c r="B116" s="28"/>
      <c r="C116" s="273" t="s">
        <v>212</v>
      </c>
      <c r="D116" s="214"/>
      <c r="E116" s="214"/>
      <c r="F116" s="214"/>
      <c r="G116" s="214"/>
      <c r="H116" s="28"/>
    </row>
    <row r="117" spans="1:9" s="377" customFormat="1" ht="23.25" thickBot="1" x14ac:dyDescent="0.25">
      <c r="A117" s="379"/>
      <c r="B117" s="383" t="s">
        <v>882</v>
      </c>
      <c r="C117" s="384" t="s">
        <v>883</v>
      </c>
      <c r="D117" s="380">
        <v>0</v>
      </c>
      <c r="E117" s="380">
        <v>15000000</v>
      </c>
      <c r="F117" s="380">
        <v>15000000</v>
      </c>
      <c r="G117" s="381">
        <f>D117+F117</f>
        <v>15000000</v>
      </c>
      <c r="H117" s="386" t="s">
        <v>1009</v>
      </c>
      <c r="I117" s="385"/>
    </row>
    <row r="118" spans="1:9" s="377" customFormat="1" ht="32.25" thickBot="1" x14ac:dyDescent="0.25">
      <c r="A118" s="388"/>
      <c r="B118" s="389"/>
      <c r="C118" s="134" t="s">
        <v>794</v>
      </c>
      <c r="D118" s="136">
        <f>SUM(D117:D117)</f>
        <v>0</v>
      </c>
      <c r="E118" s="136">
        <f>SUM(E117:E117)</f>
        <v>15000000</v>
      </c>
      <c r="F118" s="136">
        <f>SUM(F117:F117)</f>
        <v>15000000</v>
      </c>
      <c r="G118" s="136">
        <f>SUM(G117:G117)</f>
        <v>15000000</v>
      </c>
      <c r="H118" s="390"/>
    </row>
    <row r="119" spans="1:9" s="29" customFormat="1" ht="15" customHeight="1" x14ac:dyDescent="0.25">
      <c r="A119" s="387" t="s">
        <v>422</v>
      </c>
      <c r="B119" s="233"/>
      <c r="C119" s="325" t="s">
        <v>77</v>
      </c>
      <c r="D119" s="252"/>
      <c r="E119" s="252"/>
      <c r="F119" s="253"/>
      <c r="G119" s="228"/>
      <c r="H119" s="34"/>
    </row>
    <row r="120" spans="1:9" s="29" customFormat="1" ht="26.25" customHeight="1" thickBot="1" x14ac:dyDescent="0.3">
      <c r="A120" s="199"/>
      <c r="B120" s="151" t="s">
        <v>1497</v>
      </c>
      <c r="C120" s="240" t="s">
        <v>704</v>
      </c>
      <c r="D120" s="241">
        <v>2000000000</v>
      </c>
      <c r="E120" s="241">
        <f>2800372481.37+1000000</f>
        <v>2801372481.3699999</v>
      </c>
      <c r="F120" s="241">
        <v>1800000000</v>
      </c>
      <c r="G120" s="163">
        <f>D120+F120</f>
        <v>3800000000</v>
      </c>
      <c r="H120" s="126" t="s">
        <v>975</v>
      </c>
    </row>
    <row r="121" spans="1:9" s="29" customFormat="1" ht="26.25" customHeight="1" thickBot="1" x14ac:dyDescent="0.3">
      <c r="A121" s="111"/>
      <c r="B121" s="112"/>
      <c r="C121" s="291" t="s">
        <v>554</v>
      </c>
      <c r="D121" s="166">
        <f>SUM(D120)</f>
        <v>2000000000</v>
      </c>
      <c r="E121" s="238">
        <f>SUM(E120)</f>
        <v>2801372481.3699999</v>
      </c>
      <c r="F121" s="136">
        <f>SUM(F120)</f>
        <v>1800000000</v>
      </c>
      <c r="G121" s="238">
        <f>SUM(G120)</f>
        <v>3800000000</v>
      </c>
      <c r="H121" s="113"/>
    </row>
    <row r="122" spans="1:9" s="29" customFormat="1" ht="6.75" customHeight="1" x14ac:dyDescent="0.25">
      <c r="A122" s="34"/>
      <c r="B122" s="34"/>
      <c r="C122" s="95"/>
      <c r="D122" s="251"/>
      <c r="E122" s="251"/>
      <c r="F122" s="251"/>
      <c r="G122" s="251"/>
      <c r="H122" s="323"/>
    </row>
    <row r="123" spans="1:9" s="29" customFormat="1" ht="17.25" customHeight="1" x14ac:dyDescent="0.25">
      <c r="A123" s="358" t="s">
        <v>424</v>
      </c>
      <c r="B123" s="28"/>
      <c r="C123" s="273" t="s">
        <v>187</v>
      </c>
      <c r="D123" s="130"/>
      <c r="E123" s="130"/>
      <c r="F123" s="130"/>
      <c r="G123" s="130"/>
      <c r="H123" s="322"/>
    </row>
    <row r="124" spans="1:9" s="29" customFormat="1" ht="13.5" customHeight="1" thickBot="1" x14ac:dyDescent="0.3">
      <c r="A124" s="28"/>
      <c r="B124" s="151" t="s">
        <v>1061</v>
      </c>
      <c r="C124" s="225" t="s">
        <v>1062</v>
      </c>
      <c r="D124" s="132">
        <v>40000000</v>
      </c>
      <c r="E124" s="132">
        <f>800000+17400000</f>
        <v>18200000</v>
      </c>
      <c r="F124" s="132">
        <v>3000000</v>
      </c>
      <c r="G124" s="132">
        <f>D124+F124</f>
        <v>43000000</v>
      </c>
      <c r="H124" s="371" t="s">
        <v>975</v>
      </c>
    </row>
    <row r="125" spans="1:9" s="29" customFormat="1" ht="15.75" thickBot="1" x14ac:dyDescent="0.3">
      <c r="A125" s="164"/>
      <c r="B125" s="165"/>
      <c r="C125" s="134" t="s">
        <v>891</v>
      </c>
      <c r="D125" s="136">
        <f>SUM(D123:D124)</f>
        <v>40000000</v>
      </c>
      <c r="E125" s="136">
        <f>SUM(E124:E124)</f>
        <v>18200000</v>
      </c>
      <c r="F125" s="136">
        <f>SUM(F124:F124)</f>
        <v>3000000</v>
      </c>
      <c r="G125" s="136">
        <f>SUM(G124:G124)</f>
        <v>43000000</v>
      </c>
      <c r="H125" s="324"/>
    </row>
    <row r="126" spans="1:9" s="29" customFormat="1" ht="6.75" customHeight="1" x14ac:dyDescent="0.25">
      <c r="A126" s="233"/>
      <c r="B126" s="233"/>
      <c r="C126" s="234"/>
      <c r="D126" s="226"/>
      <c r="E126" s="226"/>
      <c r="F126" s="227"/>
      <c r="G126" s="228"/>
      <c r="H126" s="34"/>
    </row>
    <row r="127" spans="1:9" s="29" customFormat="1" ht="23.25" customHeight="1" x14ac:dyDescent="0.25">
      <c r="A127" s="122" t="s">
        <v>263</v>
      </c>
      <c r="B127" s="28"/>
      <c r="C127" s="273" t="s">
        <v>213</v>
      </c>
      <c r="D127" s="28"/>
      <c r="E127" s="28"/>
      <c r="F127" s="28"/>
      <c r="G127" s="28"/>
      <c r="H127" s="28"/>
    </row>
    <row r="128" spans="1:9" s="29" customFormat="1" ht="14.25" customHeight="1" x14ac:dyDescent="0.25">
      <c r="A128" s="28"/>
      <c r="B128" s="124" t="s">
        <v>265</v>
      </c>
      <c r="C128" s="48" t="s">
        <v>264</v>
      </c>
      <c r="D128" s="177">
        <v>75000000</v>
      </c>
      <c r="E128" s="177">
        <v>77750000</v>
      </c>
      <c r="F128" s="176">
        <v>2750000</v>
      </c>
      <c r="G128" s="132">
        <f>D128+F128</f>
        <v>77750000</v>
      </c>
      <c r="H128" s="126" t="s">
        <v>975</v>
      </c>
    </row>
    <row r="129" spans="1:8" s="29" customFormat="1" ht="33.75" x14ac:dyDescent="0.25">
      <c r="A129" s="28"/>
      <c r="B129" s="382" t="s">
        <v>1064</v>
      </c>
      <c r="C129" s="225" t="s">
        <v>1063</v>
      </c>
      <c r="D129" s="177">
        <v>2000000</v>
      </c>
      <c r="E129" s="215">
        <v>0</v>
      </c>
      <c r="F129" s="177">
        <v>317939000</v>
      </c>
      <c r="G129" s="132">
        <f>D129+F129</f>
        <v>319939000</v>
      </c>
      <c r="H129" s="126" t="s">
        <v>975</v>
      </c>
    </row>
    <row r="130" spans="1:8" s="29" customFormat="1" ht="23.25" thickBot="1" x14ac:dyDescent="0.3">
      <c r="A130" s="110"/>
      <c r="B130" s="382" t="s">
        <v>1066</v>
      </c>
      <c r="C130" s="225" t="s">
        <v>1065</v>
      </c>
      <c r="D130" s="178">
        <v>22500000</v>
      </c>
      <c r="E130" s="178">
        <v>4000000</v>
      </c>
      <c r="F130" s="178">
        <v>0</v>
      </c>
      <c r="G130" s="132">
        <f>D130+F130</f>
        <v>22500000</v>
      </c>
      <c r="H130" s="126" t="s">
        <v>975</v>
      </c>
    </row>
    <row r="131" spans="1:8" s="29" customFormat="1" ht="24" customHeight="1" thickBot="1" x14ac:dyDescent="0.3">
      <c r="A131" s="164"/>
      <c r="B131" s="165"/>
      <c r="C131" s="134" t="s">
        <v>241</v>
      </c>
      <c r="D131" s="136">
        <f t="shared" ref="D131:F131" si="21">SUM(D128:D130)</f>
        <v>99500000</v>
      </c>
      <c r="E131" s="136">
        <f t="shared" si="21"/>
        <v>81750000</v>
      </c>
      <c r="F131" s="136">
        <f t="shared" si="21"/>
        <v>320689000</v>
      </c>
      <c r="G131" s="136">
        <f>SUM(G128:G130)</f>
        <v>420189000</v>
      </c>
      <c r="H131" s="113"/>
    </row>
    <row r="132" spans="1:8" s="29" customFormat="1" ht="6" customHeight="1" x14ac:dyDescent="0.25">
      <c r="A132" s="34"/>
      <c r="B132" s="34"/>
      <c r="C132" s="95"/>
      <c r="D132" s="222"/>
      <c r="E132" s="222"/>
      <c r="F132" s="222"/>
      <c r="G132" s="222"/>
      <c r="H132" s="34"/>
    </row>
    <row r="133" spans="1:8" s="29" customFormat="1" ht="23.25" customHeight="1" x14ac:dyDescent="0.25">
      <c r="A133" s="122" t="s">
        <v>458</v>
      </c>
      <c r="B133" s="34"/>
      <c r="C133" s="95" t="s">
        <v>85</v>
      </c>
      <c r="D133" s="251"/>
      <c r="E133" s="222"/>
      <c r="F133" s="222"/>
      <c r="G133" s="222"/>
      <c r="H133" s="34"/>
    </row>
    <row r="134" spans="1:8" s="29" customFormat="1" ht="23.25" customHeight="1" x14ac:dyDescent="0.25">
      <c r="A134" s="34"/>
      <c r="B134" s="124" t="s">
        <v>764</v>
      </c>
      <c r="C134" s="225" t="s">
        <v>763</v>
      </c>
      <c r="D134" s="251">
        <v>0</v>
      </c>
      <c r="E134" s="222">
        <v>0</v>
      </c>
      <c r="F134" s="251">
        <v>28000000</v>
      </c>
      <c r="G134" s="132">
        <f>D134+F134</f>
        <v>28000000</v>
      </c>
      <c r="H134" s="126" t="s">
        <v>185</v>
      </c>
    </row>
    <row r="135" spans="1:8" s="29" customFormat="1" ht="24" customHeight="1" thickBot="1" x14ac:dyDescent="0.3">
      <c r="A135" s="261"/>
      <c r="B135" s="151" t="s">
        <v>765</v>
      </c>
      <c r="C135" s="242" t="s">
        <v>766</v>
      </c>
      <c r="D135" s="262"/>
      <c r="E135" s="262"/>
      <c r="F135" s="263">
        <v>2300000</v>
      </c>
      <c r="G135" s="163">
        <f>D135+F135</f>
        <v>2300000</v>
      </c>
      <c r="H135" s="126" t="s">
        <v>185</v>
      </c>
    </row>
    <row r="136" spans="1:8" s="29" customFormat="1" ht="24.75" customHeight="1" thickBot="1" x14ac:dyDescent="0.3">
      <c r="A136" s="164"/>
      <c r="B136" s="165"/>
      <c r="C136" s="134" t="s">
        <v>85</v>
      </c>
      <c r="D136" s="136">
        <f>SUM(D134:D135)</f>
        <v>0</v>
      </c>
      <c r="E136" s="136">
        <f>SUM(E134:E135)</f>
        <v>0</v>
      </c>
      <c r="F136" s="136">
        <f>SUM(F134:F135)</f>
        <v>30300000</v>
      </c>
      <c r="G136" s="136">
        <f>SUM(G134:G135)</f>
        <v>30300000</v>
      </c>
      <c r="H136" s="236"/>
    </row>
    <row r="137" spans="1:8" s="29" customFormat="1" ht="6.75" customHeight="1" x14ac:dyDescent="0.25">
      <c r="A137" s="34"/>
      <c r="B137" s="34"/>
      <c r="C137" s="95"/>
      <c r="D137" s="222"/>
      <c r="E137" s="222"/>
      <c r="F137" s="222"/>
      <c r="G137" s="222"/>
      <c r="H137" s="222"/>
    </row>
    <row r="138" spans="1:8" s="29" customFormat="1" ht="15" customHeight="1" x14ac:dyDescent="0.25">
      <c r="A138" s="122" t="s">
        <v>152</v>
      </c>
      <c r="B138" s="34"/>
      <c r="C138" s="95" t="s">
        <v>92</v>
      </c>
      <c r="D138" s="222"/>
      <c r="E138" s="222"/>
      <c r="F138" s="222"/>
      <c r="G138" s="222"/>
      <c r="H138" s="222"/>
    </row>
    <row r="139" spans="1:8" s="29" customFormat="1" ht="14.25" customHeight="1" thickBot="1" x14ac:dyDescent="0.3">
      <c r="A139" s="110"/>
      <c r="B139" s="151" t="s">
        <v>1439</v>
      </c>
      <c r="C139" s="225" t="s">
        <v>1440</v>
      </c>
      <c r="D139" s="263">
        <v>0</v>
      </c>
      <c r="E139" s="263"/>
      <c r="F139" s="263">
        <v>140000000</v>
      </c>
      <c r="G139" s="163">
        <f>D139+F139</f>
        <v>140000000</v>
      </c>
      <c r="H139" s="263"/>
    </row>
    <row r="140" spans="1:8" s="29" customFormat="1" ht="15" customHeight="1" thickBot="1" x14ac:dyDescent="0.3">
      <c r="A140" s="164"/>
      <c r="B140" s="165"/>
      <c r="C140" s="67" t="s">
        <v>188</v>
      </c>
      <c r="D140" s="136">
        <f t="shared" ref="D140:F140" si="22">SUM(D139)</f>
        <v>0</v>
      </c>
      <c r="E140" s="136">
        <f t="shared" si="22"/>
        <v>0</v>
      </c>
      <c r="F140" s="136">
        <f t="shared" si="22"/>
        <v>140000000</v>
      </c>
      <c r="G140" s="136">
        <f>SUM(G139)</f>
        <v>140000000</v>
      </c>
      <c r="H140" s="236"/>
    </row>
    <row r="141" spans="1:8" s="29" customFormat="1" ht="6.75" customHeight="1" x14ac:dyDescent="0.25">
      <c r="A141" s="34"/>
      <c r="B141" s="34"/>
      <c r="C141" s="95"/>
      <c r="D141" s="222"/>
      <c r="E141" s="222"/>
      <c r="F141" s="222"/>
      <c r="G141" s="222"/>
      <c r="H141" s="222"/>
    </row>
    <row r="142" spans="1:8" s="29" customFormat="1" ht="15" customHeight="1" x14ac:dyDescent="0.25">
      <c r="A142" s="358" t="s">
        <v>244</v>
      </c>
      <c r="B142" s="34"/>
      <c r="C142" s="284" t="s">
        <v>189</v>
      </c>
      <c r="D142" s="222"/>
      <c r="E142" s="222"/>
      <c r="F142" s="222"/>
      <c r="G142" s="222"/>
      <c r="H142" s="34"/>
    </row>
    <row r="143" spans="1:8" s="29" customFormat="1" ht="23.25" x14ac:dyDescent="0.25">
      <c r="A143" s="216"/>
      <c r="B143" s="124" t="s">
        <v>1407</v>
      </c>
      <c r="C143" s="225" t="s">
        <v>1408</v>
      </c>
      <c r="D143" s="130">
        <v>2000000</v>
      </c>
      <c r="E143" s="130">
        <v>0</v>
      </c>
      <c r="F143" s="130">
        <v>3000000</v>
      </c>
      <c r="G143" s="132">
        <f t="shared" ref="G143:G146" si="23">D143+F143</f>
        <v>5000000</v>
      </c>
      <c r="H143" s="130" t="s">
        <v>185</v>
      </c>
    </row>
    <row r="144" spans="1:8" s="29" customFormat="1" ht="34.5" x14ac:dyDescent="0.25">
      <c r="A144" s="216"/>
      <c r="B144" s="124" t="s">
        <v>1403</v>
      </c>
      <c r="C144" s="586" t="s">
        <v>1404</v>
      </c>
      <c r="D144" s="130">
        <v>72000000</v>
      </c>
      <c r="E144" s="130">
        <v>0</v>
      </c>
      <c r="F144" s="130">
        <v>35000000</v>
      </c>
      <c r="G144" s="132">
        <f t="shared" si="23"/>
        <v>107000000</v>
      </c>
      <c r="H144" s="126" t="s">
        <v>185</v>
      </c>
    </row>
    <row r="145" spans="1:8" s="29" customFormat="1" ht="23.25" x14ac:dyDescent="0.25">
      <c r="A145" s="216"/>
      <c r="B145" s="124" t="s">
        <v>901</v>
      </c>
      <c r="C145" s="225" t="s">
        <v>902</v>
      </c>
      <c r="D145" s="130">
        <v>2000000</v>
      </c>
      <c r="E145" s="130">
        <v>19875000</v>
      </c>
      <c r="F145" s="130">
        <v>18000000</v>
      </c>
      <c r="G145" s="132">
        <f t="shared" si="23"/>
        <v>20000000</v>
      </c>
      <c r="H145" s="130" t="s">
        <v>975</v>
      </c>
    </row>
    <row r="146" spans="1:8" s="29" customFormat="1" ht="15" customHeight="1" thickBot="1" x14ac:dyDescent="0.3">
      <c r="A146" s="587"/>
      <c r="B146" s="151" t="s">
        <v>1405</v>
      </c>
      <c r="C146" s="245" t="s">
        <v>1406</v>
      </c>
      <c r="D146" s="154">
        <v>0</v>
      </c>
      <c r="E146" s="154">
        <v>0</v>
      </c>
      <c r="F146" s="154">
        <v>25000000</v>
      </c>
      <c r="G146" s="132">
        <f t="shared" si="23"/>
        <v>25000000</v>
      </c>
      <c r="H146" s="154" t="s">
        <v>185</v>
      </c>
    </row>
    <row r="147" spans="1:8" s="29" customFormat="1" ht="15" customHeight="1" thickBot="1" x14ac:dyDescent="0.3">
      <c r="A147" s="164"/>
      <c r="B147" s="165"/>
      <c r="C147" s="134" t="s">
        <v>239</v>
      </c>
      <c r="D147" s="136">
        <f t="shared" ref="D147:F147" si="24">SUM(D143:D146)</f>
        <v>76000000</v>
      </c>
      <c r="E147" s="136">
        <f t="shared" si="24"/>
        <v>19875000</v>
      </c>
      <c r="F147" s="136">
        <f t="shared" si="24"/>
        <v>81000000</v>
      </c>
      <c r="G147" s="136">
        <f>SUM(G143:G146)</f>
        <v>157000000</v>
      </c>
      <c r="H147" s="113"/>
    </row>
    <row r="148" spans="1:8" s="29" customFormat="1" ht="6" customHeight="1" x14ac:dyDescent="0.25">
      <c r="A148" s="34"/>
      <c r="B148" s="34"/>
      <c r="C148" s="95"/>
      <c r="D148" s="222"/>
      <c r="E148" s="222"/>
      <c r="F148" s="222"/>
      <c r="G148" s="222"/>
      <c r="H148" s="34"/>
    </row>
    <row r="149" spans="1:8" s="29" customFormat="1" ht="24" customHeight="1" x14ac:dyDescent="0.25">
      <c r="A149" s="358" t="s">
        <v>509</v>
      </c>
      <c r="B149" s="28"/>
      <c r="C149" s="326" t="s">
        <v>216</v>
      </c>
      <c r="D149" s="126"/>
      <c r="E149" s="126"/>
      <c r="F149" s="126"/>
      <c r="G149" s="126"/>
      <c r="H149" s="126"/>
    </row>
    <row r="150" spans="1:8" s="29" customFormat="1" ht="17.25" customHeight="1" thickBot="1" x14ac:dyDescent="0.3">
      <c r="A150" s="110"/>
      <c r="B150" s="151" t="s">
        <v>894</v>
      </c>
      <c r="C150" s="293" t="s">
        <v>895</v>
      </c>
      <c r="D150" s="178">
        <v>0</v>
      </c>
      <c r="E150" s="178">
        <v>21267817.890000001</v>
      </c>
      <c r="F150" s="178">
        <v>22000000</v>
      </c>
      <c r="G150" s="163">
        <f>D150+F150</f>
        <v>22000000</v>
      </c>
      <c r="H150" s="263" t="s">
        <v>975</v>
      </c>
    </row>
    <row r="151" spans="1:8" s="29" customFormat="1" ht="24" customHeight="1" thickBot="1" x14ac:dyDescent="0.3">
      <c r="A151" s="335"/>
      <c r="B151" s="336"/>
      <c r="C151" s="291" t="s">
        <v>833</v>
      </c>
      <c r="D151" s="338">
        <f t="shared" ref="D151:F151" si="25">SUM(D150)</f>
        <v>0</v>
      </c>
      <c r="E151" s="338">
        <f t="shared" si="25"/>
        <v>21267817.890000001</v>
      </c>
      <c r="F151" s="338">
        <f t="shared" si="25"/>
        <v>22000000</v>
      </c>
      <c r="G151" s="338">
        <f>SUM(G150)</f>
        <v>22000000</v>
      </c>
      <c r="H151" s="337"/>
    </row>
    <row r="152" spans="1:8" ht="15.75" thickBot="1" x14ac:dyDescent="0.3">
      <c r="A152" s="218"/>
      <c r="B152" s="219"/>
      <c r="C152" s="334" t="s">
        <v>26</v>
      </c>
      <c r="D152" s="220">
        <f t="shared" ref="D152:F152" si="26">D151+D147+D136+D131+D125+D121+D118+D114+D108+D82+D78+D73++D68+D63+D57+D53+D47+D40+D35+D30+D26+D22+D17+D13+D8+D140</f>
        <v>23434386709.110001</v>
      </c>
      <c r="E152" s="220">
        <f t="shared" si="26"/>
        <v>22513056254.650002</v>
      </c>
      <c r="F152" s="220">
        <f t="shared" si="26"/>
        <v>9976145000</v>
      </c>
      <c r="G152" s="220">
        <f>G151+G147+G136+G131+G125+G121+G118+G114+G108+G82+G78+G73++G68+G63+G57+G53+G47+G40+G35+G30+G26+G22+G17+G13+G8+G140</f>
        <v>33410531709.110001</v>
      </c>
      <c r="H152" s="221"/>
    </row>
  </sheetData>
  <mergeCells count="4">
    <mergeCell ref="C4:F4"/>
    <mergeCell ref="A1:H1"/>
    <mergeCell ref="A2:H2"/>
    <mergeCell ref="A3:H3"/>
  </mergeCells>
  <pageMargins left="0.55000000000000004" right="0.45" top="0.75" bottom="0.75" header="0.3" footer="0.3"/>
  <pageSetup firstPageNumber="44" orientation="landscape" useFirstPageNumber="1" r:id="rId1"/>
  <headerFooter>
    <oddFooter>&amp;C&amp;P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workbookViewId="0">
      <selection activeCell="D11" sqref="D11"/>
    </sheetView>
  </sheetViews>
  <sheetFormatPr defaultRowHeight="15" x14ac:dyDescent="0.25"/>
  <cols>
    <col min="1" max="1" width="5.140625" style="57" customWidth="1"/>
    <col min="2" max="2" width="48.5703125" style="57" customWidth="1"/>
    <col min="3" max="3" width="15.42578125" style="57" hidden="1" customWidth="1"/>
    <col min="4" max="4" width="34.5703125" style="57" customWidth="1"/>
    <col min="5" max="8" width="9.140625" style="57"/>
    <col min="9" max="9" width="15" style="57" bestFit="1" customWidth="1"/>
    <col min="10" max="16384" width="9.140625" style="57"/>
  </cols>
  <sheetData>
    <row r="1" spans="1:5" ht="18.75" customHeight="1" x14ac:dyDescent="0.3">
      <c r="B1" s="680" t="s">
        <v>153</v>
      </c>
      <c r="C1" s="680"/>
      <c r="D1" s="680"/>
      <c r="E1" s="680"/>
    </row>
    <row r="2" spans="1:5" ht="18.75" customHeight="1" x14ac:dyDescent="0.3">
      <c r="B2" s="680" t="s">
        <v>544</v>
      </c>
      <c r="C2" s="680"/>
      <c r="D2" s="680"/>
      <c r="E2" s="680"/>
    </row>
    <row r="3" spans="1:5" ht="19.5" x14ac:dyDescent="0.3">
      <c r="B3" s="426"/>
      <c r="C3" s="426"/>
      <c r="D3" s="426"/>
      <c r="E3" s="426"/>
    </row>
    <row r="4" spans="1:5" ht="19.5" x14ac:dyDescent="0.3">
      <c r="B4" s="681" t="s">
        <v>528</v>
      </c>
      <c r="C4" s="681"/>
      <c r="D4" s="681"/>
      <c r="E4" s="681"/>
    </row>
    <row r="5" spans="1:5" ht="39" x14ac:dyDescent="0.3">
      <c r="A5" s="417" t="s">
        <v>0</v>
      </c>
      <c r="B5" s="418" t="s">
        <v>200</v>
      </c>
      <c r="C5" s="419" t="s">
        <v>527</v>
      </c>
      <c r="D5" s="420" t="s">
        <v>543</v>
      </c>
      <c r="E5" s="174"/>
    </row>
    <row r="6" spans="1:5" ht="19.5" x14ac:dyDescent="0.25">
      <c r="A6" s="421">
        <v>1</v>
      </c>
      <c r="B6" s="422" t="s">
        <v>1140</v>
      </c>
      <c r="C6" s="423">
        <v>13000000000</v>
      </c>
      <c r="D6" s="423">
        <v>13632855034.700001</v>
      </c>
    </row>
    <row r="7" spans="1:5" ht="19.5" x14ac:dyDescent="0.3">
      <c r="A7" s="424"/>
      <c r="B7" s="425" t="s">
        <v>38</v>
      </c>
      <c r="C7" s="419"/>
      <c r="D7" s="419">
        <f>SUM(D6:D6)</f>
        <v>13632855034.700001</v>
      </c>
    </row>
    <row r="12" spans="1:5" x14ac:dyDescent="0.25">
      <c r="B12" s="679"/>
      <c r="C12" s="679"/>
      <c r="D12" s="679"/>
    </row>
    <row r="19" spans="2:2" x14ac:dyDescent="0.25">
      <c r="B19" s="185"/>
    </row>
    <row r="21" spans="2:2" x14ac:dyDescent="0.25">
      <c r="B21" s="185"/>
    </row>
    <row r="22" spans="2:2" x14ac:dyDescent="0.25">
      <c r="B22" s="185"/>
    </row>
    <row r="31" spans="2:2" x14ac:dyDescent="0.25">
      <c r="B31" s="185" t="s">
        <v>535</v>
      </c>
    </row>
  </sheetData>
  <mergeCells count="4">
    <mergeCell ref="B12:D12"/>
    <mergeCell ref="B1:E1"/>
    <mergeCell ref="B2:E2"/>
    <mergeCell ref="B4:E4"/>
  </mergeCells>
  <pageMargins left="2.2000000000000002" right="0.7" top="0.75" bottom="0.75" header="0.3" footer="0.3"/>
  <pageSetup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workbookViewId="0">
      <selection activeCell="C16" sqref="C16"/>
    </sheetView>
  </sheetViews>
  <sheetFormatPr defaultRowHeight="15" x14ac:dyDescent="0.25"/>
  <cols>
    <col min="1" max="1" width="8.5703125" customWidth="1"/>
    <col min="2" max="2" width="64.42578125" customWidth="1"/>
    <col min="3" max="3" width="28.5703125" customWidth="1"/>
  </cols>
  <sheetData>
    <row r="1" spans="1:3" x14ac:dyDescent="0.25">
      <c r="A1" s="46"/>
    </row>
    <row r="2" spans="1:3" ht="22.5" customHeight="1" x14ac:dyDescent="0.3">
      <c r="A2" s="680" t="s">
        <v>153</v>
      </c>
      <c r="B2" s="680"/>
      <c r="C2" s="680"/>
    </row>
    <row r="3" spans="1:3" ht="19.5" x14ac:dyDescent="0.3">
      <c r="A3" s="682" t="s">
        <v>546</v>
      </c>
      <c r="B3" s="682"/>
      <c r="C3" s="682"/>
    </row>
    <row r="4" spans="1:3" ht="19.5" x14ac:dyDescent="0.3">
      <c r="A4" s="427"/>
      <c r="B4" s="427"/>
      <c r="C4" s="427"/>
    </row>
    <row r="5" spans="1:3" ht="19.5" x14ac:dyDescent="0.3">
      <c r="A5" s="683" t="s">
        <v>223</v>
      </c>
      <c r="B5" s="683"/>
      <c r="C5" s="683"/>
    </row>
    <row r="6" spans="1:3" ht="45.75" customHeight="1" x14ac:dyDescent="0.3">
      <c r="A6" s="428"/>
      <c r="B6" s="428" t="s">
        <v>142</v>
      </c>
      <c r="C6" s="429" t="s">
        <v>545</v>
      </c>
    </row>
    <row r="7" spans="1:3" ht="24.95" customHeight="1" x14ac:dyDescent="0.3">
      <c r="A7" s="424">
        <v>1</v>
      </c>
      <c r="B7" s="430" t="s">
        <v>1141</v>
      </c>
      <c r="C7" s="430">
        <v>2330470016.1199999</v>
      </c>
    </row>
    <row r="8" spans="1:3" ht="24.95" customHeight="1" x14ac:dyDescent="0.3">
      <c r="A8" s="424">
        <v>2</v>
      </c>
      <c r="B8" s="430" t="s">
        <v>1142</v>
      </c>
      <c r="C8" s="430">
        <v>5276607239.0500002</v>
      </c>
    </row>
    <row r="9" spans="1:3" ht="24.95" customHeight="1" x14ac:dyDescent="0.3">
      <c r="A9" s="424">
        <v>3</v>
      </c>
      <c r="B9" s="430" t="s">
        <v>154</v>
      </c>
      <c r="C9" s="430">
        <v>4633511025.2939091</v>
      </c>
    </row>
    <row r="10" spans="1:3" ht="19.5" x14ac:dyDescent="0.3">
      <c r="A10" s="417"/>
      <c r="B10" s="432" t="s">
        <v>1143</v>
      </c>
      <c r="C10" s="431">
        <f>SUM(C7:C9)</f>
        <v>12240588280.463909</v>
      </c>
    </row>
    <row r="24" spans="2:3" x14ac:dyDescent="0.25">
      <c r="C24" s="57"/>
    </row>
    <row r="28" spans="2:3" x14ac:dyDescent="0.25">
      <c r="B28" s="185" t="s">
        <v>139</v>
      </c>
    </row>
  </sheetData>
  <mergeCells count="3">
    <mergeCell ref="A2:C2"/>
    <mergeCell ref="A3:C3"/>
    <mergeCell ref="A5:C5"/>
  </mergeCells>
  <pageMargins left="0.8" right="0.5" top="0.75" bottom="0.75" header="0.3" footer="0.3"/>
  <pageSetup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6"/>
  <sheetViews>
    <sheetView workbookViewId="0">
      <selection activeCell="I13" sqref="I13"/>
    </sheetView>
  </sheetViews>
  <sheetFormatPr defaultRowHeight="15" x14ac:dyDescent="0.25"/>
  <cols>
    <col min="1" max="1" width="4" style="183" bestFit="1" customWidth="1"/>
    <col min="2" max="2" width="12.7109375" style="183" customWidth="1"/>
    <col min="3" max="3" width="51.7109375" style="183" customWidth="1"/>
    <col min="4" max="4" width="16.28515625" customWidth="1"/>
    <col min="5" max="5" width="15.140625" customWidth="1"/>
    <col min="6" max="6" width="15.42578125" customWidth="1"/>
    <col min="7" max="7" width="15.5703125" customWidth="1"/>
    <col min="9" max="9" width="17.5703125" bestFit="1" customWidth="1"/>
  </cols>
  <sheetData>
    <row r="1" spans="1:7" x14ac:dyDescent="0.25">
      <c r="A1" s="684" t="s">
        <v>270</v>
      </c>
      <c r="B1" s="684"/>
      <c r="C1" s="684"/>
      <c r="D1" s="684"/>
      <c r="E1" s="684"/>
      <c r="F1" s="684"/>
      <c r="G1" s="684"/>
    </row>
    <row r="2" spans="1:7" x14ac:dyDescent="0.25">
      <c r="A2" s="684" t="s">
        <v>271</v>
      </c>
      <c r="B2" s="684"/>
      <c r="C2" s="684"/>
      <c r="D2" s="684"/>
      <c r="E2" s="684"/>
      <c r="F2" s="684"/>
      <c r="G2" s="684"/>
    </row>
    <row r="3" spans="1:7" x14ac:dyDescent="0.25">
      <c r="A3" s="684" t="s">
        <v>1478</v>
      </c>
      <c r="B3" s="684"/>
      <c r="C3" s="684"/>
      <c r="D3" s="684"/>
      <c r="E3" s="684"/>
      <c r="F3" s="684"/>
      <c r="G3" s="684"/>
    </row>
    <row r="4" spans="1:7" x14ac:dyDescent="0.25">
      <c r="A4" s="684" t="s">
        <v>137</v>
      </c>
      <c r="B4" s="684"/>
      <c r="C4" s="684"/>
      <c r="D4" s="684"/>
      <c r="E4" s="684"/>
      <c r="F4" s="684"/>
      <c r="G4" s="684"/>
    </row>
    <row r="5" spans="1:7" ht="25.5" x14ac:dyDescent="0.25">
      <c r="A5" s="181" t="s">
        <v>0</v>
      </c>
      <c r="B5" s="181" t="s">
        <v>272</v>
      </c>
      <c r="C5" s="181" t="s">
        <v>273</v>
      </c>
      <c r="D5" s="182" t="s">
        <v>274</v>
      </c>
      <c r="E5" s="182" t="s">
        <v>275</v>
      </c>
      <c r="F5" s="182" t="s">
        <v>276</v>
      </c>
      <c r="G5" s="182" t="s">
        <v>3</v>
      </c>
    </row>
    <row r="6" spans="1:7" ht="18.75" customHeight="1" x14ac:dyDescent="0.25">
      <c r="A6" s="433" t="s">
        <v>143</v>
      </c>
      <c r="B6" s="433" t="s">
        <v>277</v>
      </c>
      <c r="C6" s="434" t="s">
        <v>39</v>
      </c>
      <c r="D6" s="616">
        <v>229911120.65000001</v>
      </c>
      <c r="E6" s="616">
        <v>364598000</v>
      </c>
      <c r="F6" s="616">
        <f>'Details SP'!H226</f>
        <v>1301950000</v>
      </c>
      <c r="G6" s="616">
        <f t="shared" ref="G6:G32" si="0">SUM(D6:F6)</f>
        <v>1896459120.6500001</v>
      </c>
    </row>
    <row r="7" spans="1:7" ht="20.25" customHeight="1" x14ac:dyDescent="0.25">
      <c r="A7" s="433" t="s">
        <v>144</v>
      </c>
      <c r="B7" s="433" t="s">
        <v>278</v>
      </c>
      <c r="C7" s="434" t="s">
        <v>40</v>
      </c>
      <c r="D7" s="616">
        <v>66108830.609999999</v>
      </c>
      <c r="E7" s="616">
        <v>154375000</v>
      </c>
      <c r="F7" s="616">
        <f>'Details SP'!H270</f>
        <v>180000000</v>
      </c>
      <c r="G7" s="616">
        <f t="shared" si="0"/>
        <v>400483830.61000001</v>
      </c>
    </row>
    <row r="8" spans="1:7" ht="15" customHeight="1" x14ac:dyDescent="0.25">
      <c r="A8" s="433" t="s">
        <v>145</v>
      </c>
      <c r="B8" s="433" t="s">
        <v>279</v>
      </c>
      <c r="C8" s="434" t="s">
        <v>147</v>
      </c>
      <c r="D8" s="617">
        <v>0</v>
      </c>
      <c r="E8" s="616">
        <v>100000000</v>
      </c>
      <c r="F8" s="617">
        <v>0</v>
      </c>
      <c r="G8" s="616">
        <f t="shared" si="0"/>
        <v>100000000</v>
      </c>
    </row>
    <row r="9" spans="1:7" x14ac:dyDescent="0.25">
      <c r="A9" s="433" t="s">
        <v>20</v>
      </c>
      <c r="B9" s="433" t="s">
        <v>280</v>
      </c>
      <c r="C9" s="434" t="s">
        <v>201</v>
      </c>
      <c r="D9" s="617">
        <v>0</v>
      </c>
      <c r="E9" s="616">
        <v>83000000</v>
      </c>
      <c r="F9" s="617">
        <v>0</v>
      </c>
      <c r="G9" s="616">
        <f t="shared" si="0"/>
        <v>83000000</v>
      </c>
    </row>
    <row r="10" spans="1:7" x14ac:dyDescent="0.25">
      <c r="A10" s="433" t="s">
        <v>146</v>
      </c>
      <c r="B10" s="433" t="s">
        <v>281</v>
      </c>
      <c r="C10" s="434" t="s">
        <v>41</v>
      </c>
      <c r="D10" s="617">
        <f>'Personnel Details'!G6</f>
        <v>6960116.0800000001</v>
      </c>
      <c r="E10" s="616">
        <v>2850000</v>
      </c>
      <c r="F10" s="616">
        <f>'Details SP'!H302</f>
        <v>12920000</v>
      </c>
      <c r="G10" s="616">
        <f t="shared" si="0"/>
        <v>22730116.079999998</v>
      </c>
    </row>
    <row r="11" spans="1:7" x14ac:dyDescent="0.25">
      <c r="A11" s="433" t="s">
        <v>21</v>
      </c>
      <c r="B11" s="433" t="s">
        <v>1144</v>
      </c>
      <c r="C11" s="434" t="s">
        <v>282</v>
      </c>
      <c r="D11" s="617">
        <v>0</v>
      </c>
      <c r="E11" s="616">
        <v>19475000</v>
      </c>
      <c r="F11" s="617">
        <v>0</v>
      </c>
      <c r="G11" s="616">
        <f t="shared" si="0"/>
        <v>19475000</v>
      </c>
    </row>
    <row r="12" spans="1:7" ht="15.75" customHeight="1" x14ac:dyDescent="0.25">
      <c r="A12" s="433" t="s">
        <v>22</v>
      </c>
      <c r="B12" s="433" t="s">
        <v>283</v>
      </c>
      <c r="C12" s="434" t="s">
        <v>99</v>
      </c>
      <c r="D12" s="617">
        <v>0</v>
      </c>
      <c r="E12" s="616">
        <v>24000000</v>
      </c>
      <c r="F12" s="617">
        <v>0</v>
      </c>
      <c r="G12" s="616">
        <f t="shared" si="0"/>
        <v>24000000</v>
      </c>
    </row>
    <row r="13" spans="1:7" x14ac:dyDescent="0.25">
      <c r="A13" s="433" t="s">
        <v>284</v>
      </c>
      <c r="B13" s="433" t="s">
        <v>285</v>
      </c>
      <c r="C13" s="434" t="s">
        <v>25</v>
      </c>
      <c r="D13" s="616">
        <v>98911965.109999999</v>
      </c>
      <c r="E13" s="616">
        <f>11000000+'Details SP'!G18</f>
        <v>12500000</v>
      </c>
      <c r="F13" s="616">
        <f>'Details SP'!H328</f>
        <v>344000000</v>
      </c>
      <c r="G13" s="616">
        <f t="shared" si="0"/>
        <v>455411965.11000001</v>
      </c>
    </row>
    <row r="14" spans="1:7" x14ac:dyDescent="0.25">
      <c r="A14" s="433" t="s">
        <v>30</v>
      </c>
      <c r="B14" s="433" t="s">
        <v>286</v>
      </c>
      <c r="C14" s="434" t="s">
        <v>100</v>
      </c>
      <c r="D14" s="616">
        <v>1191760552.75</v>
      </c>
      <c r="E14" s="616">
        <v>9262500</v>
      </c>
      <c r="F14" s="616">
        <v>754000000</v>
      </c>
      <c r="G14" s="616">
        <f t="shared" si="0"/>
        <v>1955023052.75</v>
      </c>
    </row>
    <row r="15" spans="1:7" x14ac:dyDescent="0.25">
      <c r="A15" s="433" t="s">
        <v>287</v>
      </c>
      <c r="B15" s="433" t="s">
        <v>288</v>
      </c>
      <c r="C15" s="434" t="s">
        <v>101</v>
      </c>
      <c r="D15" s="616">
        <v>66287202.299999997</v>
      </c>
      <c r="E15" s="616">
        <v>12658750</v>
      </c>
      <c r="F15" s="616">
        <f>'Details SP'!H366</f>
        <v>27000000</v>
      </c>
      <c r="G15" s="616">
        <f t="shared" si="0"/>
        <v>105945952.3</v>
      </c>
    </row>
    <row r="16" spans="1:7" ht="30" customHeight="1" x14ac:dyDescent="0.25">
      <c r="A16" s="433" t="s">
        <v>289</v>
      </c>
      <c r="B16" s="433" t="s">
        <v>1145</v>
      </c>
      <c r="C16" s="434" t="s">
        <v>1372</v>
      </c>
      <c r="D16" s="617">
        <v>0</v>
      </c>
      <c r="E16" s="616">
        <v>3705000</v>
      </c>
      <c r="F16" s="617">
        <v>0</v>
      </c>
      <c r="G16" s="616">
        <f t="shared" si="0"/>
        <v>3705000</v>
      </c>
    </row>
    <row r="17" spans="1:7" x14ac:dyDescent="0.25">
      <c r="A17" s="433" t="s">
        <v>290</v>
      </c>
      <c r="B17" s="433" t="s">
        <v>291</v>
      </c>
      <c r="C17" s="434" t="s">
        <v>43</v>
      </c>
      <c r="D17" s="616">
        <v>11071787.76</v>
      </c>
      <c r="E17" s="616">
        <v>11400000</v>
      </c>
      <c r="F17" s="616">
        <v>15000000</v>
      </c>
      <c r="G17" s="616">
        <f t="shared" si="0"/>
        <v>37471787.759999998</v>
      </c>
    </row>
    <row r="18" spans="1:7" x14ac:dyDescent="0.25">
      <c r="A18" s="433" t="s">
        <v>292</v>
      </c>
      <c r="B18" s="433" t="s">
        <v>293</v>
      </c>
      <c r="C18" s="434" t="s">
        <v>44</v>
      </c>
      <c r="D18" s="616">
        <v>19019373.780000001</v>
      </c>
      <c r="E18" s="616">
        <v>11700000</v>
      </c>
      <c r="F18" s="616">
        <v>35000000</v>
      </c>
      <c r="G18" s="616">
        <f t="shared" si="0"/>
        <v>65719373.780000001</v>
      </c>
    </row>
    <row r="19" spans="1:7" ht="26.25" x14ac:dyDescent="0.25">
      <c r="A19" s="433" t="s">
        <v>294</v>
      </c>
      <c r="B19" s="433" t="s">
        <v>598</v>
      </c>
      <c r="C19" s="434" t="s">
        <v>45</v>
      </c>
      <c r="D19" s="617">
        <v>0</v>
      </c>
      <c r="E19" s="616">
        <v>6000000</v>
      </c>
      <c r="F19" s="617">
        <v>0</v>
      </c>
      <c r="G19" s="616">
        <f t="shared" si="0"/>
        <v>6000000</v>
      </c>
    </row>
    <row r="20" spans="1:7" x14ac:dyDescent="0.25">
      <c r="A20" s="433" t="s">
        <v>295</v>
      </c>
      <c r="B20" s="433" t="s">
        <v>296</v>
      </c>
      <c r="C20" s="434" t="s">
        <v>148</v>
      </c>
      <c r="D20" s="616">
        <f>'Personnel Details'!G7</f>
        <v>35021288.280000001</v>
      </c>
      <c r="E20" s="616">
        <v>15000000</v>
      </c>
      <c r="F20" s="616">
        <v>10000000</v>
      </c>
      <c r="G20" s="616">
        <f t="shared" si="0"/>
        <v>60021288.280000001</v>
      </c>
    </row>
    <row r="21" spans="1:7" x14ac:dyDescent="0.25">
      <c r="A21" s="433" t="s">
        <v>297</v>
      </c>
      <c r="B21" s="433" t="s">
        <v>298</v>
      </c>
      <c r="C21" s="434" t="s">
        <v>102</v>
      </c>
      <c r="D21" s="616">
        <f>'Personnel Details'!G8</f>
        <v>37633271.509999998</v>
      </c>
      <c r="E21" s="616">
        <v>11400000</v>
      </c>
      <c r="F21" s="616">
        <v>94000000</v>
      </c>
      <c r="G21" s="616">
        <f t="shared" si="0"/>
        <v>143033271.50999999</v>
      </c>
    </row>
    <row r="22" spans="1:7" ht="19.5" customHeight="1" x14ac:dyDescent="0.25">
      <c r="A22" s="433" t="s">
        <v>299</v>
      </c>
      <c r="B22" s="433" t="s">
        <v>300</v>
      </c>
      <c r="C22" s="434" t="s">
        <v>46</v>
      </c>
      <c r="D22" s="617">
        <v>0</v>
      </c>
      <c r="E22" s="616">
        <v>3396250</v>
      </c>
      <c r="F22" s="616">
        <v>39180000</v>
      </c>
      <c r="G22" s="616">
        <f t="shared" si="0"/>
        <v>42576250</v>
      </c>
    </row>
    <row r="23" spans="1:7" x14ac:dyDescent="0.25">
      <c r="A23" s="433" t="s">
        <v>301</v>
      </c>
      <c r="B23" s="433" t="s">
        <v>302</v>
      </c>
      <c r="C23" s="434" t="s">
        <v>47</v>
      </c>
      <c r="D23" s="617">
        <v>0</v>
      </c>
      <c r="E23" s="616">
        <v>8550000</v>
      </c>
      <c r="F23" s="616">
        <v>40100000</v>
      </c>
      <c r="G23" s="616">
        <f t="shared" si="0"/>
        <v>48650000</v>
      </c>
    </row>
    <row r="24" spans="1:7" ht="26.25" x14ac:dyDescent="0.25">
      <c r="A24" s="433" t="s">
        <v>303</v>
      </c>
      <c r="B24" s="433" t="s">
        <v>304</v>
      </c>
      <c r="C24" s="434" t="s">
        <v>202</v>
      </c>
      <c r="D24" s="616">
        <v>42921047.270000003</v>
      </c>
      <c r="E24" s="616">
        <v>12350000</v>
      </c>
      <c r="F24" s="616">
        <v>10000000</v>
      </c>
      <c r="G24" s="616">
        <f t="shared" si="0"/>
        <v>65271047.270000003</v>
      </c>
    </row>
    <row r="25" spans="1:7" x14ac:dyDescent="0.25">
      <c r="A25" s="433" t="s">
        <v>305</v>
      </c>
      <c r="B25" s="433" t="s">
        <v>1146</v>
      </c>
      <c r="C25" s="434" t="s">
        <v>48</v>
      </c>
      <c r="D25" s="617">
        <v>0</v>
      </c>
      <c r="E25" s="616">
        <v>9262500</v>
      </c>
      <c r="F25" s="617">
        <v>0</v>
      </c>
      <c r="G25" s="616">
        <f t="shared" si="0"/>
        <v>9262500</v>
      </c>
    </row>
    <row r="26" spans="1:7" ht="26.25" x14ac:dyDescent="0.25">
      <c r="A26" s="433" t="s">
        <v>518</v>
      </c>
      <c r="B26" s="433" t="s">
        <v>525</v>
      </c>
      <c r="C26" s="434" t="s">
        <v>1147</v>
      </c>
      <c r="D26" s="617">
        <v>0</v>
      </c>
      <c r="E26" s="616">
        <v>10000000</v>
      </c>
      <c r="F26" s="616">
        <v>20000000</v>
      </c>
      <c r="G26" s="616">
        <f t="shared" si="0"/>
        <v>30000000</v>
      </c>
    </row>
    <row r="27" spans="1:7" x14ac:dyDescent="0.25">
      <c r="A27" s="433" t="s">
        <v>306</v>
      </c>
      <c r="B27" s="433" t="s">
        <v>1148</v>
      </c>
      <c r="C27" s="434" t="s">
        <v>136</v>
      </c>
      <c r="D27" s="616">
        <f>'Pooled fund personnel'!I14</f>
        <v>614988279.46000004</v>
      </c>
      <c r="E27" s="617">
        <v>0</v>
      </c>
      <c r="F27" s="617">
        <v>0</v>
      </c>
      <c r="G27" s="616">
        <f t="shared" si="0"/>
        <v>614988279.46000004</v>
      </c>
    </row>
    <row r="28" spans="1:7" ht="26.25" x14ac:dyDescent="0.25">
      <c r="A28" s="433" t="s">
        <v>308</v>
      </c>
      <c r="B28" s="433" t="s">
        <v>307</v>
      </c>
      <c r="C28" s="434" t="s">
        <v>49</v>
      </c>
      <c r="D28" s="617">
        <f>'Personnel Details'!G9</f>
        <v>6823699.6100000003</v>
      </c>
      <c r="E28" s="616">
        <v>12000000</v>
      </c>
      <c r="F28" s="616">
        <v>17100000</v>
      </c>
      <c r="G28" s="616">
        <f t="shared" si="0"/>
        <v>35923699.609999999</v>
      </c>
    </row>
    <row r="29" spans="1:7" x14ac:dyDescent="0.25">
      <c r="A29" s="569"/>
      <c r="B29" s="569"/>
      <c r="C29" s="570" t="s">
        <v>1378</v>
      </c>
      <c r="D29" s="618"/>
      <c r="E29" s="619"/>
      <c r="F29" s="619"/>
      <c r="G29" s="619"/>
    </row>
    <row r="30" spans="1:7" ht="14.1" customHeight="1" x14ac:dyDescent="0.25">
      <c r="A30" s="568" t="s">
        <v>310</v>
      </c>
      <c r="B30" s="568" t="s">
        <v>309</v>
      </c>
      <c r="C30" s="441" t="s">
        <v>50</v>
      </c>
      <c r="D30" s="620">
        <v>403752645.51999998</v>
      </c>
      <c r="E30" s="620">
        <v>1200000000</v>
      </c>
      <c r="F30" s="620">
        <v>1955500000</v>
      </c>
      <c r="G30" s="620">
        <f t="shared" si="0"/>
        <v>3559252645.52</v>
      </c>
    </row>
    <row r="31" spans="1:7" ht="14.1" customHeight="1" x14ac:dyDescent="0.25">
      <c r="A31" s="433" t="s">
        <v>312</v>
      </c>
      <c r="B31" s="433" t="s">
        <v>311</v>
      </c>
      <c r="C31" s="434" t="s">
        <v>51</v>
      </c>
      <c r="D31" s="616">
        <f>'Personnel Details'!G10</f>
        <v>29294394.100000001</v>
      </c>
      <c r="E31" s="616">
        <v>28658000</v>
      </c>
      <c r="F31" s="616">
        <v>18000000</v>
      </c>
      <c r="G31" s="616">
        <f t="shared" si="0"/>
        <v>75952394.099999994</v>
      </c>
    </row>
    <row r="32" spans="1:7" ht="14.1" customHeight="1" x14ac:dyDescent="0.25">
      <c r="A32" s="433" t="s">
        <v>314</v>
      </c>
      <c r="B32" s="433" t="s">
        <v>313</v>
      </c>
      <c r="C32" s="434" t="s">
        <v>103</v>
      </c>
      <c r="D32" s="617">
        <v>0</v>
      </c>
      <c r="E32" s="616">
        <v>3900000</v>
      </c>
      <c r="F32" s="617">
        <v>0</v>
      </c>
      <c r="G32" s="616">
        <f t="shared" si="0"/>
        <v>3900000</v>
      </c>
    </row>
    <row r="33" spans="1:7" ht="14.1" customHeight="1" x14ac:dyDescent="0.25">
      <c r="A33" s="433" t="s">
        <v>316</v>
      </c>
      <c r="B33" s="435" t="s">
        <v>315</v>
      </c>
      <c r="C33" s="436" t="s">
        <v>104</v>
      </c>
      <c r="D33" s="621">
        <v>0</v>
      </c>
      <c r="E33" s="622">
        <v>100600000</v>
      </c>
      <c r="F33" s="621">
        <v>0</v>
      </c>
      <c r="G33" s="622">
        <f t="shared" ref="G33:G65" si="1">SUM(D33:F33)</f>
        <v>100600000</v>
      </c>
    </row>
    <row r="34" spans="1:7" ht="14.1" customHeight="1" x14ac:dyDescent="0.25">
      <c r="A34" s="433" t="s">
        <v>318</v>
      </c>
      <c r="B34" s="437" t="s">
        <v>317</v>
      </c>
      <c r="C34" s="438" t="s">
        <v>105</v>
      </c>
      <c r="D34" s="623">
        <v>0</v>
      </c>
      <c r="E34" s="452">
        <v>80210750</v>
      </c>
      <c r="F34" s="623">
        <v>0</v>
      </c>
      <c r="G34" s="452">
        <f t="shared" si="1"/>
        <v>80210750</v>
      </c>
    </row>
    <row r="35" spans="1:7" ht="14.1" customHeight="1" x14ac:dyDescent="0.25">
      <c r="A35" s="433" t="s">
        <v>320</v>
      </c>
      <c r="B35" s="437" t="s">
        <v>319</v>
      </c>
      <c r="C35" s="438" t="s">
        <v>192</v>
      </c>
      <c r="D35" s="452">
        <v>234615616.11000001</v>
      </c>
      <c r="E35" s="452">
        <v>18000000</v>
      </c>
      <c r="F35" s="452">
        <v>530000000</v>
      </c>
      <c r="G35" s="452">
        <f t="shared" si="1"/>
        <v>782615616.11000001</v>
      </c>
    </row>
    <row r="36" spans="1:7" ht="14.1" customHeight="1" x14ac:dyDescent="0.25">
      <c r="A36" s="433" t="s">
        <v>322</v>
      </c>
      <c r="B36" s="437" t="s">
        <v>321</v>
      </c>
      <c r="C36" s="438" t="s">
        <v>52</v>
      </c>
      <c r="D36" s="452">
        <v>203144800.84999999</v>
      </c>
      <c r="E36" s="623">
        <v>0</v>
      </c>
      <c r="F36" s="623">
        <v>0</v>
      </c>
      <c r="G36" s="452">
        <f t="shared" si="1"/>
        <v>203144800.84999999</v>
      </c>
    </row>
    <row r="37" spans="1:7" ht="14.1" customHeight="1" x14ac:dyDescent="0.25">
      <c r="A37" s="433" t="s">
        <v>324</v>
      </c>
      <c r="B37" s="437" t="s">
        <v>323</v>
      </c>
      <c r="C37" s="438" t="s">
        <v>24</v>
      </c>
      <c r="D37" s="452">
        <v>55657950.219999999</v>
      </c>
      <c r="E37" s="452">
        <v>5700000</v>
      </c>
      <c r="F37" s="623">
        <v>0</v>
      </c>
      <c r="G37" s="452">
        <f t="shared" si="1"/>
        <v>61357950.219999999</v>
      </c>
    </row>
    <row r="38" spans="1:7" ht="14.1" customHeight="1" x14ac:dyDescent="0.25">
      <c r="A38" s="433" t="s">
        <v>325</v>
      </c>
      <c r="B38" s="437" t="s">
        <v>519</v>
      </c>
      <c r="C38" s="438" t="s">
        <v>217</v>
      </c>
      <c r="D38" s="623">
        <v>0</v>
      </c>
      <c r="E38" s="623">
        <v>0</v>
      </c>
      <c r="F38" s="623">
        <v>0</v>
      </c>
      <c r="G38" s="623">
        <f t="shared" si="1"/>
        <v>0</v>
      </c>
    </row>
    <row r="39" spans="1:7" ht="14.1" customHeight="1" x14ac:dyDescent="0.25">
      <c r="A39" s="433" t="s">
        <v>327</v>
      </c>
      <c r="B39" s="437" t="s">
        <v>326</v>
      </c>
      <c r="C39" s="438" t="s">
        <v>106</v>
      </c>
      <c r="D39" s="623">
        <f>'Personnel Details'!G11</f>
        <v>8006636.2699999996</v>
      </c>
      <c r="E39" s="452">
        <v>6175000</v>
      </c>
      <c r="F39" s="452">
        <v>10000000</v>
      </c>
      <c r="G39" s="452">
        <f t="shared" si="1"/>
        <v>24181636.27</v>
      </c>
    </row>
    <row r="40" spans="1:7" ht="14.1" customHeight="1" x14ac:dyDescent="0.25">
      <c r="A40" s="433" t="s">
        <v>329</v>
      </c>
      <c r="B40" s="437" t="s">
        <v>328</v>
      </c>
      <c r="C40" s="438" t="s">
        <v>107</v>
      </c>
      <c r="D40" s="623">
        <v>0</v>
      </c>
      <c r="E40" s="452">
        <v>4940000</v>
      </c>
      <c r="F40" s="623">
        <v>0</v>
      </c>
      <c r="G40" s="452">
        <f t="shared" si="1"/>
        <v>4940000</v>
      </c>
    </row>
    <row r="41" spans="1:7" ht="14.1" customHeight="1" x14ac:dyDescent="0.25">
      <c r="A41" s="433" t="s">
        <v>331</v>
      </c>
      <c r="B41" s="437" t="s">
        <v>330</v>
      </c>
      <c r="C41" s="438" t="s">
        <v>53</v>
      </c>
      <c r="D41" s="623">
        <v>0</v>
      </c>
      <c r="E41" s="452">
        <v>48000000</v>
      </c>
      <c r="F41" s="623">
        <v>0</v>
      </c>
      <c r="G41" s="452">
        <f t="shared" si="1"/>
        <v>48000000</v>
      </c>
    </row>
    <row r="42" spans="1:7" ht="14.1" customHeight="1" x14ac:dyDescent="0.25">
      <c r="A42" s="433" t="s">
        <v>333</v>
      </c>
      <c r="B42" s="437" t="s">
        <v>332</v>
      </c>
      <c r="C42" s="438" t="s">
        <v>108</v>
      </c>
      <c r="D42" s="623">
        <v>0</v>
      </c>
      <c r="E42" s="452">
        <v>2600000</v>
      </c>
      <c r="F42" s="623">
        <v>0</v>
      </c>
      <c r="G42" s="452">
        <f t="shared" si="1"/>
        <v>2600000</v>
      </c>
    </row>
    <row r="43" spans="1:7" ht="14.1" customHeight="1" x14ac:dyDescent="0.25">
      <c r="A43" s="433" t="s">
        <v>335</v>
      </c>
      <c r="B43" s="437" t="s">
        <v>334</v>
      </c>
      <c r="C43" s="438" t="s">
        <v>54</v>
      </c>
      <c r="D43" s="623">
        <v>0</v>
      </c>
      <c r="E43" s="452">
        <v>12400000</v>
      </c>
      <c r="F43" s="452">
        <v>20000000</v>
      </c>
      <c r="G43" s="452">
        <f t="shared" si="1"/>
        <v>32400000</v>
      </c>
    </row>
    <row r="44" spans="1:7" ht="14.1" customHeight="1" x14ac:dyDescent="0.25">
      <c r="A44" s="433" t="s">
        <v>337</v>
      </c>
      <c r="B44" s="437" t="s">
        <v>336</v>
      </c>
      <c r="C44" s="438" t="s">
        <v>55</v>
      </c>
      <c r="D44" s="452">
        <v>204533865.38</v>
      </c>
      <c r="E44" s="194">
        <v>42000000</v>
      </c>
      <c r="F44" s="452">
        <v>105250000</v>
      </c>
      <c r="G44" s="452">
        <f t="shared" si="1"/>
        <v>351783865.38</v>
      </c>
    </row>
    <row r="45" spans="1:7" ht="26.25" x14ac:dyDescent="0.25">
      <c r="A45" s="433" t="s">
        <v>339</v>
      </c>
      <c r="B45" s="437" t="s">
        <v>338</v>
      </c>
      <c r="C45" s="438" t="s">
        <v>109</v>
      </c>
      <c r="D45" s="623">
        <v>0</v>
      </c>
      <c r="E45" s="452">
        <v>4000000</v>
      </c>
      <c r="F45" s="623">
        <v>0</v>
      </c>
      <c r="G45" s="452">
        <f t="shared" si="1"/>
        <v>4000000</v>
      </c>
    </row>
    <row r="46" spans="1:7" x14ac:dyDescent="0.25">
      <c r="A46" s="433" t="s">
        <v>343</v>
      </c>
      <c r="B46" s="437" t="s">
        <v>340</v>
      </c>
      <c r="C46" s="438" t="s">
        <v>203</v>
      </c>
      <c r="D46" s="623">
        <v>0</v>
      </c>
      <c r="E46" s="452">
        <v>16000000</v>
      </c>
      <c r="F46" s="623">
        <v>0</v>
      </c>
      <c r="G46" s="452">
        <f t="shared" si="1"/>
        <v>16000000</v>
      </c>
    </row>
    <row r="47" spans="1:7" ht="26.25" x14ac:dyDescent="0.25">
      <c r="A47" s="433" t="s">
        <v>341</v>
      </c>
      <c r="B47" s="437" t="s">
        <v>1443</v>
      </c>
      <c r="C47" s="438" t="s">
        <v>1444</v>
      </c>
      <c r="D47" s="623">
        <v>0</v>
      </c>
      <c r="E47" s="452">
        <f>'Details SP'!G51</f>
        <v>4000000</v>
      </c>
      <c r="F47" s="623">
        <v>0</v>
      </c>
      <c r="G47" s="452">
        <f>SUM(D47:F47)</f>
        <v>4000000</v>
      </c>
    </row>
    <row r="48" spans="1:7" x14ac:dyDescent="0.25">
      <c r="A48" s="433" t="s">
        <v>345</v>
      </c>
      <c r="B48" s="437" t="s">
        <v>342</v>
      </c>
      <c r="C48" s="438" t="s">
        <v>110</v>
      </c>
      <c r="D48" s="623">
        <f>'Personnel Details'!G12</f>
        <v>9082109.7400000002</v>
      </c>
      <c r="E48" s="452">
        <v>30400000</v>
      </c>
      <c r="F48" s="452">
        <f>60000000+'Details SP'!G400</f>
        <v>65000000</v>
      </c>
      <c r="G48" s="452">
        <f t="shared" si="1"/>
        <v>104482109.74000001</v>
      </c>
    </row>
    <row r="49" spans="1:7" x14ac:dyDescent="0.25">
      <c r="A49" s="433" t="s">
        <v>346</v>
      </c>
      <c r="B49" s="437" t="s">
        <v>1149</v>
      </c>
      <c r="C49" s="438" t="s">
        <v>56</v>
      </c>
      <c r="D49" s="452">
        <f>242767428.29+'Personnel Details'!F14</f>
        <v>282467428.28999996</v>
      </c>
      <c r="E49" s="452">
        <v>58000000</v>
      </c>
      <c r="F49" s="452">
        <v>27000000</v>
      </c>
      <c r="G49" s="452">
        <f t="shared" si="1"/>
        <v>367467428.28999996</v>
      </c>
    </row>
    <row r="50" spans="1:7" x14ac:dyDescent="0.25">
      <c r="A50" s="433" t="s">
        <v>348</v>
      </c>
      <c r="B50" s="437" t="s">
        <v>1150</v>
      </c>
      <c r="C50" s="438" t="s">
        <v>57</v>
      </c>
      <c r="D50" s="452">
        <v>72517414.280000001</v>
      </c>
      <c r="E50" s="452">
        <v>15000000</v>
      </c>
      <c r="F50" s="452">
        <f>'Details SP'!H537</f>
        <v>15000000</v>
      </c>
      <c r="G50" s="452">
        <f t="shared" si="1"/>
        <v>102517414.28</v>
      </c>
    </row>
    <row r="51" spans="1:7" x14ac:dyDescent="0.25">
      <c r="A51" s="433" t="s">
        <v>350</v>
      </c>
      <c r="B51" s="437" t="s">
        <v>347</v>
      </c>
      <c r="C51" s="438" t="s">
        <v>58</v>
      </c>
      <c r="D51" s="452">
        <v>119782191.54000001</v>
      </c>
      <c r="E51" s="452">
        <v>24000000</v>
      </c>
      <c r="F51" s="452">
        <v>18000000</v>
      </c>
      <c r="G51" s="452">
        <f t="shared" si="1"/>
        <v>161782191.54000002</v>
      </c>
    </row>
    <row r="52" spans="1:7" ht="26.25" x14ac:dyDescent="0.25">
      <c r="A52" s="433" t="s">
        <v>352</v>
      </c>
      <c r="B52" s="437" t="s">
        <v>349</v>
      </c>
      <c r="C52" s="438" t="s">
        <v>59</v>
      </c>
      <c r="D52" s="452">
        <v>87670476.959999993</v>
      </c>
      <c r="E52" s="452">
        <v>18525000</v>
      </c>
      <c r="F52" s="452">
        <v>7200000</v>
      </c>
      <c r="G52" s="452">
        <f t="shared" si="1"/>
        <v>113395476.95999999</v>
      </c>
    </row>
    <row r="53" spans="1:7" ht="26.25" x14ac:dyDescent="0.25">
      <c r="A53" s="433" t="s">
        <v>353</v>
      </c>
      <c r="B53" s="437" t="s">
        <v>351</v>
      </c>
      <c r="C53" s="438" t="s">
        <v>111</v>
      </c>
      <c r="D53" s="623">
        <v>0</v>
      </c>
      <c r="E53" s="452">
        <v>4446000</v>
      </c>
      <c r="F53" s="623">
        <v>0</v>
      </c>
      <c r="G53" s="452">
        <f t="shared" si="1"/>
        <v>4446000</v>
      </c>
    </row>
    <row r="54" spans="1:7" x14ac:dyDescent="0.25">
      <c r="A54" s="433" t="s">
        <v>355</v>
      </c>
      <c r="B54" s="437" t="s">
        <v>230</v>
      </c>
      <c r="C54" s="439" t="s">
        <v>204</v>
      </c>
      <c r="D54" s="452">
        <v>452336117.89999998</v>
      </c>
      <c r="E54" s="452">
        <v>17100000</v>
      </c>
      <c r="F54" s="452">
        <v>15000000</v>
      </c>
      <c r="G54" s="452">
        <f t="shared" si="1"/>
        <v>484436117.89999998</v>
      </c>
    </row>
    <row r="55" spans="1:7" ht="27.75" x14ac:dyDescent="0.25">
      <c r="A55" s="433" t="s">
        <v>357</v>
      </c>
      <c r="B55" s="437" t="s">
        <v>1151</v>
      </c>
      <c r="C55" s="439" t="s">
        <v>1152</v>
      </c>
      <c r="D55" s="623">
        <v>0</v>
      </c>
      <c r="E55" s="452">
        <v>2375000</v>
      </c>
      <c r="F55" s="623">
        <v>0</v>
      </c>
      <c r="G55" s="452">
        <f t="shared" si="1"/>
        <v>2375000</v>
      </c>
    </row>
    <row r="56" spans="1:7" x14ac:dyDescent="0.25">
      <c r="A56" s="433" t="s">
        <v>359</v>
      </c>
      <c r="B56" s="437" t="s">
        <v>354</v>
      </c>
      <c r="C56" s="439" t="s">
        <v>112</v>
      </c>
      <c r="D56" s="623">
        <v>0</v>
      </c>
      <c r="E56" s="452">
        <v>950000</v>
      </c>
      <c r="F56" s="623">
        <v>0</v>
      </c>
      <c r="G56" s="452">
        <f t="shared" si="1"/>
        <v>950000</v>
      </c>
    </row>
    <row r="57" spans="1:7" x14ac:dyDescent="0.25">
      <c r="A57" s="433" t="s">
        <v>360</v>
      </c>
      <c r="B57" s="437" t="s">
        <v>356</v>
      </c>
      <c r="C57" s="439" t="s">
        <v>60</v>
      </c>
      <c r="D57" s="452">
        <v>261736171.22</v>
      </c>
      <c r="E57" s="452">
        <v>4631250</v>
      </c>
      <c r="F57" s="452">
        <v>4500000</v>
      </c>
      <c r="G57" s="452">
        <f t="shared" si="1"/>
        <v>270867421.22000003</v>
      </c>
    </row>
    <row r="58" spans="1:7" x14ac:dyDescent="0.25">
      <c r="A58" s="433" t="s">
        <v>362</v>
      </c>
      <c r="B58" s="437" t="s">
        <v>358</v>
      </c>
      <c r="C58" s="439" t="s">
        <v>149</v>
      </c>
      <c r="D58" s="623">
        <v>0</v>
      </c>
      <c r="E58" s="452">
        <v>8550000</v>
      </c>
      <c r="F58" s="623">
        <v>0</v>
      </c>
      <c r="G58" s="452">
        <f t="shared" si="1"/>
        <v>8550000</v>
      </c>
    </row>
    <row r="59" spans="1:7" x14ac:dyDescent="0.25">
      <c r="A59" s="569"/>
      <c r="B59" s="571"/>
      <c r="C59" s="572" t="s">
        <v>1373</v>
      </c>
      <c r="D59" s="624"/>
      <c r="E59" s="625"/>
      <c r="F59" s="624"/>
      <c r="G59" s="625"/>
    </row>
    <row r="60" spans="1:7" x14ac:dyDescent="0.25">
      <c r="A60" s="568" t="s">
        <v>363</v>
      </c>
      <c r="B60" s="435" t="s">
        <v>234</v>
      </c>
      <c r="C60" s="456" t="s">
        <v>61</v>
      </c>
      <c r="D60" s="622">
        <f>'Personnel Details'!G13</f>
        <v>61286905.969999999</v>
      </c>
      <c r="E60" s="622">
        <v>3500000</v>
      </c>
      <c r="F60" s="621">
        <v>0</v>
      </c>
      <c r="G60" s="622">
        <f t="shared" si="1"/>
        <v>64786905.969999999</v>
      </c>
    </row>
    <row r="61" spans="1:7" ht="14.25" customHeight="1" x14ac:dyDescent="0.25">
      <c r="A61" s="433" t="s">
        <v>365</v>
      </c>
      <c r="B61" s="437" t="s">
        <v>361</v>
      </c>
      <c r="C61" s="439" t="s">
        <v>62</v>
      </c>
      <c r="D61" s="623">
        <v>0</v>
      </c>
      <c r="E61" s="452">
        <v>3396250</v>
      </c>
      <c r="F61" s="623">
        <v>0</v>
      </c>
      <c r="G61" s="452">
        <f t="shared" si="1"/>
        <v>3396250</v>
      </c>
    </row>
    <row r="62" spans="1:7" x14ac:dyDescent="0.25">
      <c r="A62" s="433" t="s">
        <v>367</v>
      </c>
      <c r="B62" s="437" t="s">
        <v>232</v>
      </c>
      <c r="C62" s="439" t="s">
        <v>63</v>
      </c>
      <c r="D62" s="623">
        <v>0</v>
      </c>
      <c r="E62" s="452">
        <v>4940000</v>
      </c>
      <c r="F62" s="623">
        <v>0</v>
      </c>
      <c r="G62" s="452">
        <f t="shared" si="1"/>
        <v>4940000</v>
      </c>
    </row>
    <row r="63" spans="1:7" x14ac:dyDescent="0.25">
      <c r="A63" s="433" t="s">
        <v>370</v>
      </c>
      <c r="B63" s="437" t="s">
        <v>364</v>
      </c>
      <c r="C63" s="439" t="s">
        <v>64</v>
      </c>
      <c r="D63" s="452">
        <v>188165890.18000001</v>
      </c>
      <c r="E63" s="452">
        <v>150000000</v>
      </c>
      <c r="F63" s="452">
        <f>'Details SP'!H446</f>
        <v>5764000000</v>
      </c>
      <c r="G63" s="452">
        <f t="shared" si="1"/>
        <v>6102165890.1800003</v>
      </c>
    </row>
    <row r="64" spans="1:7" x14ac:dyDescent="0.25">
      <c r="A64" s="433" t="s">
        <v>372</v>
      </c>
      <c r="B64" s="437" t="s">
        <v>366</v>
      </c>
      <c r="C64" s="439" t="s">
        <v>113</v>
      </c>
      <c r="D64" s="623">
        <v>0</v>
      </c>
      <c r="E64" s="452">
        <v>24000000</v>
      </c>
      <c r="F64" s="623">
        <v>0</v>
      </c>
      <c r="G64" s="452">
        <f t="shared" si="1"/>
        <v>24000000</v>
      </c>
    </row>
    <row r="65" spans="1:7" x14ac:dyDescent="0.25">
      <c r="A65" s="433" t="s">
        <v>374</v>
      </c>
      <c r="B65" s="437" t="s">
        <v>368</v>
      </c>
      <c r="C65" s="439" t="s">
        <v>369</v>
      </c>
      <c r="D65" s="623">
        <v>0</v>
      </c>
      <c r="E65" s="452">
        <v>12000000</v>
      </c>
      <c r="F65" s="623">
        <v>0</v>
      </c>
      <c r="G65" s="452">
        <f t="shared" si="1"/>
        <v>12000000</v>
      </c>
    </row>
    <row r="66" spans="1:7" ht="26.25" x14ac:dyDescent="0.25">
      <c r="A66" s="433" t="s">
        <v>375</v>
      </c>
      <c r="B66" s="435" t="s">
        <v>1153</v>
      </c>
      <c r="C66" s="436" t="s">
        <v>1154</v>
      </c>
      <c r="D66" s="621">
        <v>0</v>
      </c>
      <c r="E66" s="622">
        <v>12000000</v>
      </c>
      <c r="F66" s="621">
        <v>0</v>
      </c>
      <c r="G66" s="622">
        <f t="shared" ref="G66:G96" si="2">SUM(D66:F66)</f>
        <v>12000000</v>
      </c>
    </row>
    <row r="67" spans="1:7" ht="16.5" customHeight="1" x14ac:dyDescent="0.25">
      <c r="A67" s="433" t="s">
        <v>377</v>
      </c>
      <c r="B67" s="440" t="s">
        <v>371</v>
      </c>
      <c r="C67" s="439" t="s">
        <v>65</v>
      </c>
      <c r="D67" s="626">
        <v>0</v>
      </c>
      <c r="E67" s="595">
        <v>24000000</v>
      </c>
      <c r="F67" s="595">
        <f>'Details SP'!H476</f>
        <v>65000000</v>
      </c>
      <c r="G67" s="595">
        <f t="shared" si="2"/>
        <v>89000000</v>
      </c>
    </row>
    <row r="68" spans="1:7" x14ac:dyDescent="0.25">
      <c r="A68" s="433" t="s">
        <v>379</v>
      </c>
      <c r="B68" s="440" t="s">
        <v>373</v>
      </c>
      <c r="C68" s="439" t="s">
        <v>66</v>
      </c>
      <c r="D68" s="595">
        <v>181500000</v>
      </c>
      <c r="E68" s="595">
        <v>140000000</v>
      </c>
      <c r="F68" s="595">
        <f>'Details SP'!H514</f>
        <v>150000000</v>
      </c>
      <c r="G68" s="595">
        <f t="shared" si="2"/>
        <v>471500000</v>
      </c>
    </row>
    <row r="69" spans="1:7" x14ac:dyDescent="0.25">
      <c r="A69" s="433" t="s">
        <v>381</v>
      </c>
      <c r="B69" s="440" t="s">
        <v>1155</v>
      </c>
      <c r="C69" s="439" t="s">
        <v>1156</v>
      </c>
      <c r="D69" s="626">
        <v>0</v>
      </c>
      <c r="E69" s="595">
        <v>37050000</v>
      </c>
      <c r="F69" s="626">
        <v>0</v>
      </c>
      <c r="G69" s="595">
        <f t="shared" si="2"/>
        <v>37050000</v>
      </c>
    </row>
    <row r="70" spans="1:7" ht="27.75" x14ac:dyDescent="0.25">
      <c r="A70" s="433" t="s">
        <v>383</v>
      </c>
      <c r="B70" s="440" t="s">
        <v>376</v>
      </c>
      <c r="C70" s="439" t="s">
        <v>205</v>
      </c>
      <c r="D70" s="595">
        <f>'Pooled fund personnel'!I8</f>
        <v>211457005.01999998</v>
      </c>
      <c r="E70" s="595">
        <v>18525000</v>
      </c>
      <c r="F70" s="595">
        <v>15000000</v>
      </c>
      <c r="G70" s="595">
        <f t="shared" si="2"/>
        <v>244982005.01999998</v>
      </c>
    </row>
    <row r="71" spans="1:7" x14ac:dyDescent="0.25">
      <c r="A71" s="433" t="s">
        <v>385</v>
      </c>
      <c r="B71" s="440" t="s">
        <v>378</v>
      </c>
      <c r="C71" s="439" t="s">
        <v>114</v>
      </c>
      <c r="D71" s="626">
        <v>0</v>
      </c>
      <c r="E71" s="595">
        <v>3800000</v>
      </c>
      <c r="F71" s="595">
        <v>1500000</v>
      </c>
      <c r="G71" s="595">
        <f t="shared" si="2"/>
        <v>5300000</v>
      </c>
    </row>
    <row r="72" spans="1:7" x14ac:dyDescent="0.25">
      <c r="A72" s="433" t="s">
        <v>387</v>
      </c>
      <c r="B72" s="440" t="s">
        <v>380</v>
      </c>
      <c r="C72" s="439" t="s">
        <v>67</v>
      </c>
      <c r="D72" s="595">
        <v>56571305.600000001</v>
      </c>
      <c r="E72" s="595">
        <v>15437500</v>
      </c>
      <c r="F72" s="626">
        <v>0</v>
      </c>
      <c r="G72" s="595">
        <f t="shared" si="2"/>
        <v>72008805.599999994</v>
      </c>
    </row>
    <row r="73" spans="1:7" ht="16.5" customHeight="1" x14ac:dyDescent="0.25">
      <c r="A73" s="433" t="s">
        <v>389</v>
      </c>
      <c r="B73" s="440" t="s">
        <v>1157</v>
      </c>
      <c r="C73" s="439" t="s">
        <v>809</v>
      </c>
      <c r="D73" s="626">
        <v>0</v>
      </c>
      <c r="E73" s="595">
        <v>24000000</v>
      </c>
      <c r="F73" s="626">
        <v>0</v>
      </c>
      <c r="G73" s="595">
        <f t="shared" si="2"/>
        <v>24000000</v>
      </c>
    </row>
    <row r="74" spans="1:7" x14ac:dyDescent="0.25">
      <c r="A74" s="433" t="s">
        <v>391</v>
      </c>
      <c r="B74" s="440" t="s">
        <v>382</v>
      </c>
      <c r="C74" s="439" t="s">
        <v>68</v>
      </c>
      <c r="D74" s="595">
        <v>89967422.030000001</v>
      </c>
      <c r="E74" s="595">
        <v>12000000</v>
      </c>
      <c r="F74" s="626">
        <v>0</v>
      </c>
      <c r="G74" s="595">
        <f t="shared" si="2"/>
        <v>101967422.03</v>
      </c>
    </row>
    <row r="75" spans="1:7" ht="27.75" x14ac:dyDescent="0.25">
      <c r="A75" s="433" t="s">
        <v>393</v>
      </c>
      <c r="B75" s="440" t="s">
        <v>384</v>
      </c>
      <c r="C75" s="439" t="s">
        <v>206</v>
      </c>
      <c r="D75" s="626">
        <v>0</v>
      </c>
      <c r="E75" s="595">
        <v>5130000</v>
      </c>
      <c r="F75" s="626">
        <v>0</v>
      </c>
      <c r="G75" s="595">
        <f t="shared" si="2"/>
        <v>5130000</v>
      </c>
    </row>
    <row r="76" spans="1:7" ht="12.95" customHeight="1" x14ac:dyDescent="0.25">
      <c r="A76" s="433" t="s">
        <v>395</v>
      </c>
      <c r="B76" s="440" t="s">
        <v>386</v>
      </c>
      <c r="C76" s="439" t="s">
        <v>207</v>
      </c>
      <c r="D76" s="595">
        <v>192811389.41</v>
      </c>
      <c r="E76" s="595">
        <v>17100000</v>
      </c>
      <c r="F76" s="595">
        <f>160700000-60000000</f>
        <v>100700000</v>
      </c>
      <c r="G76" s="595">
        <f t="shared" si="2"/>
        <v>310611389.40999997</v>
      </c>
    </row>
    <row r="77" spans="1:7" ht="12.95" customHeight="1" x14ac:dyDescent="0.25">
      <c r="A77" s="433" t="s">
        <v>396</v>
      </c>
      <c r="B77" s="440" t="s">
        <v>388</v>
      </c>
      <c r="C77" s="439" t="s">
        <v>208</v>
      </c>
      <c r="D77" s="626">
        <v>0</v>
      </c>
      <c r="E77" s="595">
        <v>8000000</v>
      </c>
      <c r="F77" s="626">
        <v>0</v>
      </c>
      <c r="G77" s="595">
        <f t="shared" si="2"/>
        <v>8000000</v>
      </c>
    </row>
    <row r="78" spans="1:7" x14ac:dyDescent="0.25">
      <c r="A78" s="433" t="s">
        <v>398</v>
      </c>
      <c r="B78" s="440" t="s">
        <v>390</v>
      </c>
      <c r="C78" s="439" t="s">
        <v>69</v>
      </c>
      <c r="D78" s="595">
        <v>167219277.46000001</v>
      </c>
      <c r="E78" s="595">
        <v>15000000</v>
      </c>
      <c r="F78" s="595">
        <v>375000000</v>
      </c>
      <c r="G78" s="595">
        <f t="shared" si="2"/>
        <v>557219277.46000004</v>
      </c>
    </row>
    <row r="79" spans="1:7" ht="27.75" x14ac:dyDescent="0.25">
      <c r="A79" s="433" t="s">
        <v>400</v>
      </c>
      <c r="B79" s="633" t="s">
        <v>1213</v>
      </c>
      <c r="C79" s="634" t="s">
        <v>1255</v>
      </c>
      <c r="D79" s="626">
        <v>0</v>
      </c>
      <c r="E79" s="595">
        <f>'Details SP'!G84</f>
        <v>4000000</v>
      </c>
      <c r="F79" s="626">
        <v>0</v>
      </c>
      <c r="G79" s="595">
        <f t="shared" si="2"/>
        <v>4000000</v>
      </c>
    </row>
    <row r="80" spans="1:7" x14ac:dyDescent="0.25">
      <c r="A80" s="433" t="s">
        <v>402</v>
      </c>
      <c r="B80" s="633" t="s">
        <v>392</v>
      </c>
      <c r="C80" s="634" t="s">
        <v>209</v>
      </c>
      <c r="D80" s="595">
        <f>'Pooled fund personnel'!I7</f>
        <v>549486330.15999997</v>
      </c>
      <c r="E80" s="595">
        <v>22705000</v>
      </c>
      <c r="F80" s="595">
        <f>'Details SP'!H603</f>
        <v>78000000</v>
      </c>
      <c r="G80" s="595">
        <f t="shared" si="2"/>
        <v>650191330.15999997</v>
      </c>
    </row>
    <row r="81" spans="1:7" x14ac:dyDescent="0.25">
      <c r="A81" s="433" t="s">
        <v>404</v>
      </c>
      <c r="B81" s="633" t="s">
        <v>394</v>
      </c>
      <c r="C81" s="634" t="s">
        <v>150</v>
      </c>
      <c r="D81" s="626">
        <v>0</v>
      </c>
      <c r="E81" s="595">
        <v>6175000</v>
      </c>
      <c r="F81" s="626">
        <v>0</v>
      </c>
      <c r="G81" s="595">
        <f t="shared" si="2"/>
        <v>6175000</v>
      </c>
    </row>
    <row r="82" spans="1:7" x14ac:dyDescent="0.25">
      <c r="A82" s="433" t="s">
        <v>407</v>
      </c>
      <c r="B82" s="633" t="s">
        <v>236</v>
      </c>
      <c r="C82" s="634" t="s">
        <v>210</v>
      </c>
      <c r="D82" s="595">
        <v>404799226.13</v>
      </c>
      <c r="E82" s="595">
        <v>12350000</v>
      </c>
      <c r="F82" s="626">
        <v>0</v>
      </c>
      <c r="G82" s="595">
        <f t="shared" si="2"/>
        <v>417149226.13</v>
      </c>
    </row>
    <row r="83" spans="1:7" ht="15.75" customHeight="1" x14ac:dyDescent="0.25">
      <c r="A83" s="433" t="s">
        <v>409</v>
      </c>
      <c r="B83" s="633" t="s">
        <v>1192</v>
      </c>
      <c r="C83" s="634" t="s">
        <v>1193</v>
      </c>
      <c r="D83" s="626">
        <v>0</v>
      </c>
      <c r="E83" s="626">
        <f>'Details SP'!H117</f>
        <v>4000000</v>
      </c>
      <c r="F83" s="626">
        <v>0</v>
      </c>
      <c r="G83" s="595">
        <f t="shared" si="2"/>
        <v>4000000</v>
      </c>
    </row>
    <row r="84" spans="1:7" ht="27.75" x14ac:dyDescent="0.25">
      <c r="A84" s="433" t="s">
        <v>412</v>
      </c>
      <c r="B84" s="440" t="s">
        <v>397</v>
      </c>
      <c r="C84" s="439" t="s">
        <v>242</v>
      </c>
      <c r="D84" s="626">
        <v>0</v>
      </c>
      <c r="E84" s="595">
        <v>3705000</v>
      </c>
      <c r="F84" s="626">
        <v>0</v>
      </c>
      <c r="G84" s="595">
        <f t="shared" si="2"/>
        <v>3705000</v>
      </c>
    </row>
    <row r="85" spans="1:7" x14ac:dyDescent="0.25">
      <c r="A85" s="433" t="s">
        <v>414</v>
      </c>
      <c r="B85" s="440" t="s">
        <v>399</v>
      </c>
      <c r="C85" s="439" t="s">
        <v>71</v>
      </c>
      <c r="D85" s="595">
        <v>143189564.36000001</v>
      </c>
      <c r="E85" s="595">
        <v>18000000</v>
      </c>
      <c r="F85" s="595">
        <f>'Details SP'!H647</f>
        <v>45000000</v>
      </c>
      <c r="G85" s="595">
        <f t="shared" si="2"/>
        <v>206189564.36000001</v>
      </c>
    </row>
    <row r="86" spans="1:7" ht="15.75" customHeight="1" x14ac:dyDescent="0.25">
      <c r="A86" s="433" t="s">
        <v>416</v>
      </c>
      <c r="B86" s="440" t="s">
        <v>401</v>
      </c>
      <c r="C86" s="439" t="s">
        <v>72</v>
      </c>
      <c r="D86" s="595">
        <v>117529756.61</v>
      </c>
      <c r="E86" s="595">
        <v>120000000</v>
      </c>
      <c r="F86" s="595">
        <f>566000000-8000000</f>
        <v>558000000</v>
      </c>
      <c r="G86" s="595">
        <f t="shared" si="2"/>
        <v>795529756.61000001</v>
      </c>
    </row>
    <row r="87" spans="1:7" ht="15.75" customHeight="1" x14ac:dyDescent="0.25">
      <c r="A87" s="569"/>
      <c r="B87" s="574"/>
      <c r="C87" s="572" t="s">
        <v>1374</v>
      </c>
      <c r="D87" s="627"/>
      <c r="E87" s="627"/>
      <c r="F87" s="627"/>
      <c r="G87" s="627"/>
    </row>
    <row r="88" spans="1:7" x14ac:dyDescent="0.25">
      <c r="A88" s="568" t="s">
        <v>418</v>
      </c>
      <c r="B88" s="573" t="s">
        <v>403</v>
      </c>
      <c r="C88" s="456" t="s">
        <v>115</v>
      </c>
      <c r="D88" s="628">
        <v>0</v>
      </c>
      <c r="E88" s="629">
        <v>22000000</v>
      </c>
      <c r="F88" s="628">
        <v>0</v>
      </c>
      <c r="G88" s="629">
        <f t="shared" si="2"/>
        <v>22000000</v>
      </c>
    </row>
    <row r="89" spans="1:7" x14ac:dyDescent="0.25">
      <c r="A89" s="433" t="s">
        <v>420</v>
      </c>
      <c r="B89" s="440" t="s">
        <v>405</v>
      </c>
      <c r="C89" s="439" t="s">
        <v>406</v>
      </c>
      <c r="D89" s="626">
        <v>0</v>
      </c>
      <c r="E89" s="595">
        <v>10000000</v>
      </c>
      <c r="F89" s="626">
        <v>0</v>
      </c>
      <c r="G89" s="595">
        <f t="shared" si="2"/>
        <v>10000000</v>
      </c>
    </row>
    <row r="90" spans="1:7" ht="27.75" x14ac:dyDescent="0.25">
      <c r="A90" s="433" t="s">
        <v>421</v>
      </c>
      <c r="B90" s="440" t="s">
        <v>408</v>
      </c>
      <c r="C90" s="439" t="s">
        <v>211</v>
      </c>
      <c r="D90" s="626">
        <v>0</v>
      </c>
      <c r="E90" s="595">
        <v>9262500</v>
      </c>
      <c r="F90" s="626">
        <v>0</v>
      </c>
      <c r="G90" s="595">
        <f t="shared" si="2"/>
        <v>9262500</v>
      </c>
    </row>
    <row r="91" spans="1:7" ht="27.75" x14ac:dyDescent="0.25">
      <c r="A91" s="433" t="s">
        <v>423</v>
      </c>
      <c r="B91" s="440" t="s">
        <v>410</v>
      </c>
      <c r="C91" s="439" t="s">
        <v>411</v>
      </c>
      <c r="D91" s="626">
        <v>0</v>
      </c>
      <c r="E91" s="595">
        <v>16000000</v>
      </c>
      <c r="F91" s="626">
        <v>0</v>
      </c>
      <c r="G91" s="595">
        <f t="shared" si="2"/>
        <v>16000000</v>
      </c>
    </row>
    <row r="92" spans="1:7" x14ac:dyDescent="0.25">
      <c r="A92" s="433" t="s">
        <v>425</v>
      </c>
      <c r="B92" s="440" t="s">
        <v>1158</v>
      </c>
      <c r="C92" s="439" t="s">
        <v>1159</v>
      </c>
      <c r="D92" s="626">
        <v>0</v>
      </c>
      <c r="E92" s="595">
        <v>11220000</v>
      </c>
      <c r="F92" s="626">
        <v>0</v>
      </c>
      <c r="G92" s="595">
        <f t="shared" si="2"/>
        <v>11220000</v>
      </c>
    </row>
    <row r="93" spans="1:7" x14ac:dyDescent="0.25">
      <c r="A93" s="433" t="s">
        <v>427</v>
      </c>
      <c r="B93" s="440" t="s">
        <v>1160</v>
      </c>
      <c r="C93" s="439" t="s">
        <v>1161</v>
      </c>
      <c r="D93" s="626">
        <v>0</v>
      </c>
      <c r="E93" s="595">
        <v>17100000</v>
      </c>
      <c r="F93" s="626">
        <v>0</v>
      </c>
      <c r="G93" s="595">
        <f t="shared" si="2"/>
        <v>17100000</v>
      </c>
    </row>
    <row r="94" spans="1:7" x14ac:dyDescent="0.25">
      <c r="A94" s="433" t="s">
        <v>428</v>
      </c>
      <c r="B94" s="440" t="s">
        <v>413</v>
      </c>
      <c r="C94" s="439" t="s">
        <v>73</v>
      </c>
      <c r="D94" s="595">
        <v>59508705.170000002</v>
      </c>
      <c r="E94" s="595">
        <v>12000000</v>
      </c>
      <c r="F94" s="595">
        <v>30800000</v>
      </c>
      <c r="G94" s="595">
        <f t="shared" si="2"/>
        <v>102308705.17</v>
      </c>
    </row>
    <row r="95" spans="1:7" ht="27.75" x14ac:dyDescent="0.25">
      <c r="A95" s="433" t="s">
        <v>430</v>
      </c>
      <c r="B95" s="440" t="s">
        <v>245</v>
      </c>
      <c r="C95" s="439" t="s">
        <v>227</v>
      </c>
      <c r="D95" s="626">
        <v>0</v>
      </c>
      <c r="E95" s="595">
        <v>14820000</v>
      </c>
      <c r="F95" s="595">
        <v>2000000</v>
      </c>
      <c r="G95" s="595">
        <f t="shared" si="2"/>
        <v>16820000</v>
      </c>
    </row>
    <row r="96" spans="1:7" x14ac:dyDescent="0.25">
      <c r="A96" s="433" t="s">
        <v>432</v>
      </c>
      <c r="B96" s="440" t="s">
        <v>415</v>
      </c>
      <c r="C96" s="439" t="s">
        <v>74</v>
      </c>
      <c r="D96" s="595">
        <f>'Pooled fund personnel'!I9</f>
        <v>422057493.42000002</v>
      </c>
      <c r="E96" s="595">
        <v>18525000</v>
      </c>
      <c r="F96" s="626">
        <v>0</v>
      </c>
      <c r="G96" s="595">
        <f t="shared" si="2"/>
        <v>440582493.42000002</v>
      </c>
    </row>
    <row r="97" spans="1:7" ht="26.25" x14ac:dyDescent="0.25">
      <c r="A97" s="433" t="s">
        <v>434</v>
      </c>
      <c r="B97" s="435" t="s">
        <v>417</v>
      </c>
      <c r="C97" s="441" t="s">
        <v>212</v>
      </c>
      <c r="D97" s="622">
        <f>'Personnel Details'!G15</f>
        <v>70469399.560000002</v>
      </c>
      <c r="E97" s="622">
        <v>18525000</v>
      </c>
      <c r="F97" s="622">
        <v>8200000</v>
      </c>
      <c r="G97" s="622">
        <f t="shared" ref="G97:G129" si="3">SUM(D97:F97)</f>
        <v>97194399.560000002</v>
      </c>
    </row>
    <row r="98" spans="1:7" ht="26.25" x14ac:dyDescent="0.25">
      <c r="A98" s="433" t="s">
        <v>435</v>
      </c>
      <c r="B98" s="437" t="s">
        <v>419</v>
      </c>
      <c r="C98" s="434" t="s">
        <v>75</v>
      </c>
      <c r="D98" s="452">
        <v>135219955.19999999</v>
      </c>
      <c r="E98" s="452">
        <v>4875000</v>
      </c>
      <c r="F98" s="623">
        <v>0</v>
      </c>
      <c r="G98" s="452">
        <f t="shared" si="3"/>
        <v>140094955.19999999</v>
      </c>
    </row>
    <row r="99" spans="1:7" x14ac:dyDescent="0.25">
      <c r="A99" s="433" t="s">
        <v>437</v>
      </c>
      <c r="B99" s="437" t="s">
        <v>268</v>
      </c>
      <c r="C99" s="434" t="s">
        <v>76</v>
      </c>
      <c r="D99" s="623">
        <v>0</v>
      </c>
      <c r="E99" s="452">
        <v>6000000</v>
      </c>
      <c r="F99" s="623">
        <v>0</v>
      </c>
      <c r="G99" s="452">
        <f t="shared" si="3"/>
        <v>6000000</v>
      </c>
    </row>
    <row r="100" spans="1:7" x14ac:dyDescent="0.25">
      <c r="A100" s="433" t="s">
        <v>439</v>
      </c>
      <c r="B100" s="437" t="s">
        <v>422</v>
      </c>
      <c r="C100" s="434" t="s">
        <v>77</v>
      </c>
      <c r="D100" s="452">
        <v>220960406.56999999</v>
      </c>
      <c r="E100" s="452">
        <v>15900000</v>
      </c>
      <c r="F100" s="452">
        <v>5000000</v>
      </c>
      <c r="G100" s="452">
        <f t="shared" si="3"/>
        <v>241860406.56999999</v>
      </c>
    </row>
    <row r="101" spans="1:7" x14ac:dyDescent="0.25">
      <c r="A101" s="433" t="s">
        <v>440</v>
      </c>
      <c r="B101" s="437" t="s">
        <v>424</v>
      </c>
      <c r="C101" s="434" t="s">
        <v>187</v>
      </c>
      <c r="D101" s="623">
        <v>0</v>
      </c>
      <c r="E101" s="452">
        <v>18525000</v>
      </c>
      <c r="F101" s="452">
        <v>9000000</v>
      </c>
      <c r="G101" s="452">
        <f t="shared" si="3"/>
        <v>27525000</v>
      </c>
    </row>
    <row r="102" spans="1:7" ht="26.25" x14ac:dyDescent="0.25">
      <c r="A102" s="433" t="s">
        <v>442</v>
      </c>
      <c r="B102" s="451" t="s">
        <v>426</v>
      </c>
      <c r="C102" s="450" t="s">
        <v>151</v>
      </c>
      <c r="D102" s="452">
        <v>127295761.63</v>
      </c>
      <c r="E102" s="452">
        <f>'Details SP'!H181</f>
        <v>20000000</v>
      </c>
      <c r="F102" s="452">
        <v>5000000</v>
      </c>
      <c r="G102" s="452">
        <f t="shared" si="3"/>
        <v>152295761.63</v>
      </c>
    </row>
    <row r="103" spans="1:7" ht="26.25" x14ac:dyDescent="0.25">
      <c r="A103" s="433" t="s">
        <v>444</v>
      </c>
      <c r="B103" s="437" t="s">
        <v>1162</v>
      </c>
      <c r="C103" s="434" t="s">
        <v>1198</v>
      </c>
      <c r="D103" s="623">
        <v>0</v>
      </c>
      <c r="E103" s="452">
        <v>8027500</v>
      </c>
      <c r="F103" s="623">
        <v>0</v>
      </c>
      <c r="G103" s="452">
        <f t="shared" si="3"/>
        <v>8027500</v>
      </c>
    </row>
    <row r="104" spans="1:7" x14ac:dyDescent="0.25">
      <c r="A104" s="433" t="s">
        <v>446</v>
      </c>
      <c r="B104" s="437" t="s">
        <v>1164</v>
      </c>
      <c r="C104" s="434" t="s">
        <v>1165</v>
      </c>
      <c r="D104" s="623">
        <v>0</v>
      </c>
      <c r="E104" s="452">
        <v>54000000</v>
      </c>
      <c r="F104" s="623">
        <v>0</v>
      </c>
      <c r="G104" s="452">
        <f t="shared" si="3"/>
        <v>54000000</v>
      </c>
    </row>
    <row r="105" spans="1:7" x14ac:dyDescent="0.25">
      <c r="A105" s="433" t="s">
        <v>448</v>
      </c>
      <c r="B105" s="437" t="s">
        <v>267</v>
      </c>
      <c r="C105" s="434" t="s">
        <v>23</v>
      </c>
      <c r="D105" s="452">
        <v>1569362618.6500001</v>
      </c>
      <c r="E105" s="452">
        <v>60665800</v>
      </c>
      <c r="F105" s="452">
        <v>193000000</v>
      </c>
      <c r="G105" s="452">
        <f t="shared" si="3"/>
        <v>1823028418.6500001</v>
      </c>
    </row>
    <row r="106" spans="1:7" x14ac:dyDescent="0.25">
      <c r="A106" s="433" t="s">
        <v>450</v>
      </c>
      <c r="B106" s="437" t="s">
        <v>429</v>
      </c>
      <c r="C106" s="434" t="s">
        <v>78</v>
      </c>
      <c r="D106" s="452">
        <v>71916099.290000007</v>
      </c>
      <c r="E106" s="452">
        <v>39000000</v>
      </c>
      <c r="F106" s="452">
        <v>10000000</v>
      </c>
      <c r="G106" s="452">
        <f t="shared" si="3"/>
        <v>120916099.29000001</v>
      </c>
    </row>
    <row r="107" spans="1:7" x14ac:dyDescent="0.25">
      <c r="A107" s="433" t="s">
        <v>452</v>
      </c>
      <c r="B107" s="437" t="s">
        <v>431</v>
      </c>
      <c r="C107" s="434" t="s">
        <v>116</v>
      </c>
      <c r="D107" s="623">
        <v>0</v>
      </c>
      <c r="E107" s="452">
        <v>45000000</v>
      </c>
      <c r="F107" s="623">
        <v>0</v>
      </c>
      <c r="G107" s="452">
        <f t="shared" si="3"/>
        <v>45000000</v>
      </c>
    </row>
    <row r="108" spans="1:7" x14ac:dyDescent="0.25">
      <c r="A108" s="433" t="s">
        <v>453</v>
      </c>
      <c r="B108" s="437" t="s">
        <v>433</v>
      </c>
      <c r="C108" s="434" t="s">
        <v>117</v>
      </c>
      <c r="D108" s="623">
        <v>0</v>
      </c>
      <c r="E108" s="452">
        <v>26000000</v>
      </c>
      <c r="F108" s="623">
        <v>0</v>
      </c>
      <c r="G108" s="452">
        <f t="shared" si="3"/>
        <v>26000000</v>
      </c>
    </row>
    <row r="109" spans="1:7" x14ac:dyDescent="0.25">
      <c r="A109" s="433" t="s">
        <v>455</v>
      </c>
      <c r="B109" s="437" t="s">
        <v>233</v>
      </c>
      <c r="C109" s="434" t="s">
        <v>79</v>
      </c>
      <c r="D109" s="452">
        <v>326472694.04000002</v>
      </c>
      <c r="E109" s="452">
        <v>19834100</v>
      </c>
      <c r="F109" s="452">
        <v>40240000</v>
      </c>
      <c r="G109" s="452">
        <f t="shared" si="3"/>
        <v>386546794.04000002</v>
      </c>
    </row>
    <row r="110" spans="1:7" x14ac:dyDescent="0.25">
      <c r="A110" s="433" t="s">
        <v>457</v>
      </c>
      <c r="B110" s="437" t="s">
        <v>436</v>
      </c>
      <c r="C110" s="434" t="s">
        <v>80</v>
      </c>
      <c r="D110" s="452">
        <f>'Personnel Details'!G16</f>
        <v>6495843.7800000003</v>
      </c>
      <c r="E110" s="452">
        <v>5557500</v>
      </c>
      <c r="F110" s="623">
        <v>0</v>
      </c>
      <c r="G110" s="452">
        <f t="shared" si="3"/>
        <v>12053343.780000001</v>
      </c>
    </row>
    <row r="111" spans="1:7" ht="26.25" x14ac:dyDescent="0.25">
      <c r="A111" s="433" t="s">
        <v>459</v>
      </c>
      <c r="B111" s="437" t="s">
        <v>438</v>
      </c>
      <c r="C111" s="434" t="s">
        <v>118</v>
      </c>
      <c r="D111" s="623">
        <v>0</v>
      </c>
      <c r="E111" s="452">
        <v>9262500</v>
      </c>
      <c r="F111" s="623">
        <v>0</v>
      </c>
      <c r="G111" s="452">
        <f t="shared" si="3"/>
        <v>9262500</v>
      </c>
    </row>
    <row r="112" spans="1:7" x14ac:dyDescent="0.25">
      <c r="A112" s="433" t="s">
        <v>461</v>
      </c>
      <c r="B112" s="437" t="s">
        <v>269</v>
      </c>
      <c r="C112" s="434" t="s">
        <v>81</v>
      </c>
      <c r="D112" s="452">
        <v>686750319.41999996</v>
      </c>
      <c r="E112" s="452">
        <v>36000000</v>
      </c>
      <c r="F112" s="452">
        <v>60000000</v>
      </c>
      <c r="G112" s="452">
        <f t="shared" si="3"/>
        <v>782750319.41999996</v>
      </c>
    </row>
    <row r="113" spans="1:7" x14ac:dyDescent="0.25">
      <c r="A113" s="569"/>
      <c r="B113" s="571"/>
      <c r="C113" s="570" t="s">
        <v>1375</v>
      </c>
      <c r="D113" s="625"/>
      <c r="E113" s="625"/>
      <c r="F113" s="625"/>
      <c r="G113" s="625"/>
    </row>
    <row r="114" spans="1:7" ht="26.25" x14ac:dyDescent="0.25">
      <c r="A114" s="568" t="s">
        <v>463</v>
      </c>
      <c r="B114" s="435" t="s">
        <v>441</v>
      </c>
      <c r="C114" s="441" t="s">
        <v>119</v>
      </c>
      <c r="D114" s="621">
        <v>0</v>
      </c>
      <c r="E114" s="622">
        <v>36000000</v>
      </c>
      <c r="F114" s="621">
        <v>0</v>
      </c>
      <c r="G114" s="622">
        <f t="shared" si="3"/>
        <v>36000000</v>
      </c>
    </row>
    <row r="115" spans="1:7" x14ac:dyDescent="0.25">
      <c r="A115" s="433" t="s">
        <v>465</v>
      </c>
      <c r="B115" s="437" t="s">
        <v>443</v>
      </c>
      <c r="C115" s="434" t="s">
        <v>120</v>
      </c>
      <c r="D115" s="623">
        <v>0</v>
      </c>
      <c r="E115" s="452">
        <v>17500000</v>
      </c>
      <c r="F115" s="623">
        <v>0</v>
      </c>
      <c r="G115" s="452">
        <f t="shared" si="3"/>
        <v>17500000</v>
      </c>
    </row>
    <row r="116" spans="1:7" ht="26.25" x14ac:dyDescent="0.25">
      <c r="A116" s="433" t="s">
        <v>467</v>
      </c>
      <c r="B116" s="437" t="s">
        <v>1166</v>
      </c>
      <c r="C116" s="434" t="s">
        <v>1167</v>
      </c>
      <c r="D116" s="623">
        <v>0</v>
      </c>
      <c r="E116" s="623">
        <v>0</v>
      </c>
      <c r="F116" s="623">
        <v>0</v>
      </c>
      <c r="G116" s="623">
        <f t="shared" si="3"/>
        <v>0</v>
      </c>
    </row>
    <row r="117" spans="1:7" x14ac:dyDescent="0.25">
      <c r="A117" s="433" t="s">
        <v>469</v>
      </c>
      <c r="B117" s="437" t="s">
        <v>445</v>
      </c>
      <c r="C117" s="434" t="s">
        <v>196</v>
      </c>
      <c r="D117" s="452">
        <v>57032486.68</v>
      </c>
      <c r="E117" s="452">
        <v>18000000</v>
      </c>
      <c r="F117" s="452">
        <f>'Details SP'!H674</f>
        <v>51200000</v>
      </c>
      <c r="G117" s="452">
        <f t="shared" si="3"/>
        <v>126232486.68000001</v>
      </c>
    </row>
    <row r="118" spans="1:7" x14ac:dyDescent="0.25">
      <c r="A118" s="433" t="s">
        <v>471</v>
      </c>
      <c r="B118" s="437" t="s">
        <v>447</v>
      </c>
      <c r="C118" s="434" t="s">
        <v>82</v>
      </c>
      <c r="D118" s="623">
        <f>'Personnel Details'!G17</f>
        <v>13189625.92</v>
      </c>
      <c r="E118" s="623">
        <v>0</v>
      </c>
      <c r="F118" s="452">
        <v>139700000</v>
      </c>
      <c r="G118" s="452">
        <f t="shared" si="3"/>
        <v>152889625.91999999</v>
      </c>
    </row>
    <row r="119" spans="1:7" ht="26.25" x14ac:dyDescent="0.25">
      <c r="A119" s="433" t="s">
        <v>473</v>
      </c>
      <c r="B119" s="437" t="s">
        <v>449</v>
      </c>
      <c r="C119" s="434" t="s">
        <v>83</v>
      </c>
      <c r="D119" s="452">
        <v>171277050.56</v>
      </c>
      <c r="E119" s="452">
        <v>12967500</v>
      </c>
      <c r="F119" s="452">
        <f>'Details SP'!H714</f>
        <v>300850000</v>
      </c>
      <c r="G119" s="452">
        <f t="shared" si="3"/>
        <v>485094550.56</v>
      </c>
    </row>
    <row r="120" spans="1:7" ht="24.75" x14ac:dyDescent="0.25">
      <c r="A120" s="433" t="s">
        <v>475</v>
      </c>
      <c r="B120" s="437" t="s">
        <v>451</v>
      </c>
      <c r="C120" s="443" t="s">
        <v>84</v>
      </c>
      <c r="D120" s="623">
        <v>0</v>
      </c>
      <c r="E120" s="452">
        <v>4940000</v>
      </c>
      <c r="F120" s="452">
        <v>31000000</v>
      </c>
      <c r="G120" s="452">
        <f t="shared" si="3"/>
        <v>35940000</v>
      </c>
    </row>
    <row r="121" spans="1:7" ht="14.1" customHeight="1" x14ac:dyDescent="0.25">
      <c r="A121" s="433" t="s">
        <v>477</v>
      </c>
      <c r="B121" s="437" t="s">
        <v>263</v>
      </c>
      <c r="C121" s="434" t="s">
        <v>213</v>
      </c>
      <c r="D121" s="452">
        <f>'Pooled fund personnel'!I10</f>
        <v>1169738258.23</v>
      </c>
      <c r="E121" s="452">
        <v>18833750</v>
      </c>
      <c r="F121" s="452">
        <f>'Details SP'!H768</f>
        <v>355250000</v>
      </c>
      <c r="G121" s="452">
        <f t="shared" si="3"/>
        <v>1543822008.23</v>
      </c>
    </row>
    <row r="122" spans="1:7" ht="14.1" customHeight="1" x14ac:dyDescent="0.25">
      <c r="A122" s="433" t="s">
        <v>479</v>
      </c>
      <c r="B122" s="437" t="s">
        <v>454</v>
      </c>
      <c r="C122" s="434" t="s">
        <v>121</v>
      </c>
      <c r="D122" s="623">
        <v>0</v>
      </c>
      <c r="E122" s="452">
        <v>5400000</v>
      </c>
      <c r="F122" s="623">
        <v>0</v>
      </c>
      <c r="G122" s="452">
        <f t="shared" si="3"/>
        <v>5400000</v>
      </c>
    </row>
    <row r="123" spans="1:7" x14ac:dyDescent="0.25">
      <c r="A123" s="433" t="s">
        <v>481</v>
      </c>
      <c r="B123" s="437" t="s">
        <v>456</v>
      </c>
      <c r="C123" s="434" t="s">
        <v>122</v>
      </c>
      <c r="D123" s="623">
        <v>0</v>
      </c>
      <c r="E123" s="452">
        <v>2470000</v>
      </c>
      <c r="F123" s="452">
        <v>4500000</v>
      </c>
      <c r="G123" s="452">
        <f t="shared" si="3"/>
        <v>6970000</v>
      </c>
    </row>
    <row r="124" spans="1:7" ht="24.75" x14ac:dyDescent="0.25">
      <c r="A124" s="433" t="s">
        <v>483</v>
      </c>
      <c r="B124" s="437" t="s">
        <v>458</v>
      </c>
      <c r="C124" s="443" t="s">
        <v>85</v>
      </c>
      <c r="D124" s="452">
        <f>'Pooled fund personnel'!I11</f>
        <v>333401773.07999998</v>
      </c>
      <c r="E124" s="452">
        <v>30400000</v>
      </c>
      <c r="F124" s="452">
        <f>'Details SP'!H821</f>
        <v>72980000</v>
      </c>
      <c r="G124" s="452">
        <f t="shared" si="3"/>
        <v>436781773.07999998</v>
      </c>
    </row>
    <row r="125" spans="1:7" ht="23.25" x14ac:dyDescent="0.25">
      <c r="A125" s="433" t="s">
        <v>485</v>
      </c>
      <c r="B125" s="437" t="s">
        <v>460</v>
      </c>
      <c r="C125" s="442" t="s">
        <v>123</v>
      </c>
      <c r="D125" s="623">
        <v>0</v>
      </c>
      <c r="E125" s="452">
        <v>23750000</v>
      </c>
      <c r="F125" s="623">
        <v>0</v>
      </c>
      <c r="G125" s="452">
        <f t="shared" si="3"/>
        <v>23750000</v>
      </c>
    </row>
    <row r="126" spans="1:7" ht="14.1" customHeight="1" x14ac:dyDescent="0.25">
      <c r="A126" s="433" t="s">
        <v>487</v>
      </c>
      <c r="B126" s="437" t="s">
        <v>462</v>
      </c>
      <c r="C126" s="434" t="s">
        <v>124</v>
      </c>
      <c r="D126" s="623">
        <v>0</v>
      </c>
      <c r="E126" s="452">
        <v>22800000</v>
      </c>
      <c r="F126" s="623">
        <v>0</v>
      </c>
      <c r="G126" s="452">
        <f t="shared" si="3"/>
        <v>22800000</v>
      </c>
    </row>
    <row r="127" spans="1:7" ht="14.1" customHeight="1" x14ac:dyDescent="0.25">
      <c r="A127" s="433" t="s">
        <v>488</v>
      </c>
      <c r="B127" s="437" t="s">
        <v>464</v>
      </c>
      <c r="C127" s="434" t="s">
        <v>86</v>
      </c>
      <c r="D127" s="452">
        <f>'Personnel Details'!G18</f>
        <v>37928935.469999999</v>
      </c>
      <c r="E127" s="452">
        <v>6000000</v>
      </c>
      <c r="F127" s="452">
        <v>2000000</v>
      </c>
      <c r="G127" s="452">
        <f t="shared" si="3"/>
        <v>45928935.469999999</v>
      </c>
    </row>
    <row r="128" spans="1:7" ht="14.1" customHeight="1" x14ac:dyDescent="0.25">
      <c r="A128" s="433" t="s">
        <v>489</v>
      </c>
      <c r="B128" s="437" t="s">
        <v>521</v>
      </c>
      <c r="C128" s="434" t="s">
        <v>87</v>
      </c>
      <c r="D128" s="623">
        <v>0</v>
      </c>
      <c r="E128" s="623">
        <v>0</v>
      </c>
      <c r="F128" s="623">
        <v>0</v>
      </c>
      <c r="G128" s="623">
        <f t="shared" si="3"/>
        <v>0</v>
      </c>
    </row>
    <row r="129" spans="1:9" ht="14.1" customHeight="1" x14ac:dyDescent="0.25">
      <c r="A129" s="433" t="s">
        <v>490</v>
      </c>
      <c r="B129" s="437" t="s">
        <v>522</v>
      </c>
      <c r="C129" s="434" t="s">
        <v>88</v>
      </c>
      <c r="D129" s="623">
        <v>0</v>
      </c>
      <c r="E129" s="623">
        <v>0</v>
      </c>
      <c r="F129" s="623">
        <v>0</v>
      </c>
      <c r="G129" s="623">
        <f t="shared" si="3"/>
        <v>0</v>
      </c>
    </row>
    <row r="130" spans="1:9" ht="26.25" x14ac:dyDescent="0.25">
      <c r="A130" s="433" t="s">
        <v>492</v>
      </c>
      <c r="B130" s="435" t="s">
        <v>523</v>
      </c>
      <c r="C130" s="436" t="s">
        <v>990</v>
      </c>
      <c r="D130" s="621">
        <v>0</v>
      </c>
      <c r="E130" s="621">
        <v>0</v>
      </c>
      <c r="F130" s="621">
        <v>0</v>
      </c>
      <c r="G130" s="621">
        <f t="shared" ref="G130:G164" si="4">SUM(D130:F130)</f>
        <v>0</v>
      </c>
    </row>
    <row r="131" spans="1:9" ht="14.1" customHeight="1" x14ac:dyDescent="0.25">
      <c r="A131" s="433" t="s">
        <v>494</v>
      </c>
      <c r="B131" s="437" t="s">
        <v>524</v>
      </c>
      <c r="C131" s="438" t="s">
        <v>89</v>
      </c>
      <c r="D131" s="623">
        <v>0</v>
      </c>
      <c r="E131" s="623">
        <v>0</v>
      </c>
      <c r="F131" s="623">
        <v>0</v>
      </c>
      <c r="G131" s="623">
        <f t="shared" si="4"/>
        <v>0</v>
      </c>
    </row>
    <row r="132" spans="1:9" ht="14.1" customHeight="1" x14ac:dyDescent="0.25">
      <c r="A132" s="433" t="s">
        <v>496</v>
      </c>
      <c r="B132" s="437" t="s">
        <v>466</v>
      </c>
      <c r="C132" s="438" t="s">
        <v>90</v>
      </c>
      <c r="D132" s="452">
        <f>'Pooled fund personnel'!I12</f>
        <v>15185849777.439999</v>
      </c>
      <c r="E132" s="452">
        <v>15437500</v>
      </c>
      <c r="F132" s="452">
        <v>32850000</v>
      </c>
      <c r="G132" s="452">
        <f t="shared" si="4"/>
        <v>15234137277.439999</v>
      </c>
    </row>
    <row r="133" spans="1:9" ht="14.1" customHeight="1" x14ac:dyDescent="0.25">
      <c r="A133" s="433" t="s">
        <v>498</v>
      </c>
      <c r="B133" s="437" t="s">
        <v>468</v>
      </c>
      <c r="C133" s="438" t="s">
        <v>125</v>
      </c>
      <c r="D133" s="623">
        <v>0</v>
      </c>
      <c r="E133" s="452">
        <v>2850000</v>
      </c>
      <c r="F133" s="623">
        <v>0</v>
      </c>
      <c r="G133" s="452">
        <f t="shared" si="4"/>
        <v>2850000</v>
      </c>
    </row>
    <row r="134" spans="1:9" ht="14.1" customHeight="1" x14ac:dyDescent="0.25">
      <c r="A134" s="433" t="s">
        <v>500</v>
      </c>
      <c r="B134" s="437" t="s">
        <v>470</v>
      </c>
      <c r="C134" s="438" t="s">
        <v>126</v>
      </c>
      <c r="D134" s="623">
        <v>0</v>
      </c>
      <c r="E134" s="452">
        <v>2850000</v>
      </c>
      <c r="F134" s="623">
        <v>0</v>
      </c>
      <c r="G134" s="452">
        <f t="shared" si="4"/>
        <v>2850000</v>
      </c>
    </row>
    <row r="135" spans="1:9" ht="14.1" customHeight="1" x14ac:dyDescent="0.25">
      <c r="A135" s="433" t="s">
        <v>501</v>
      </c>
      <c r="B135" s="437" t="s">
        <v>472</v>
      </c>
      <c r="C135" s="438" t="s">
        <v>127</v>
      </c>
      <c r="D135" s="623">
        <v>0</v>
      </c>
      <c r="E135" s="452">
        <v>2850000</v>
      </c>
      <c r="F135" s="623">
        <v>0</v>
      </c>
      <c r="G135" s="452">
        <f t="shared" si="4"/>
        <v>2850000</v>
      </c>
    </row>
    <row r="136" spans="1:9" ht="14.1" customHeight="1" x14ac:dyDescent="0.25">
      <c r="A136" s="433" t="s">
        <v>504</v>
      </c>
      <c r="B136" s="437" t="s">
        <v>474</v>
      </c>
      <c r="C136" s="438" t="s">
        <v>128</v>
      </c>
      <c r="D136" s="623">
        <v>0</v>
      </c>
      <c r="E136" s="452">
        <v>2850000</v>
      </c>
      <c r="F136" s="623">
        <v>0</v>
      </c>
      <c r="G136" s="452">
        <f t="shared" si="4"/>
        <v>2850000</v>
      </c>
    </row>
    <row r="137" spans="1:9" ht="14.1" customHeight="1" x14ac:dyDescent="0.25">
      <c r="A137" s="433" t="s">
        <v>505</v>
      </c>
      <c r="B137" s="437" t="s">
        <v>476</v>
      </c>
      <c r="C137" s="438" t="s">
        <v>129</v>
      </c>
      <c r="D137" s="623">
        <v>0</v>
      </c>
      <c r="E137" s="452">
        <v>2850000</v>
      </c>
      <c r="F137" s="623">
        <v>0</v>
      </c>
      <c r="G137" s="452">
        <f t="shared" si="4"/>
        <v>2850000</v>
      </c>
    </row>
    <row r="138" spans="1:9" ht="14.1" customHeight="1" x14ac:dyDescent="0.25">
      <c r="A138" s="433" t="s">
        <v>506</v>
      </c>
      <c r="B138" s="437" t="s">
        <v>478</v>
      </c>
      <c r="C138" s="438" t="s">
        <v>130</v>
      </c>
      <c r="D138" s="623">
        <v>0</v>
      </c>
      <c r="E138" s="452">
        <v>2850000</v>
      </c>
      <c r="F138" s="623">
        <v>0</v>
      </c>
      <c r="G138" s="452">
        <f t="shared" si="4"/>
        <v>2850000</v>
      </c>
    </row>
    <row r="139" spans="1:9" ht="14.1" customHeight="1" x14ac:dyDescent="0.25">
      <c r="A139" s="433" t="s">
        <v>507</v>
      </c>
      <c r="B139" s="437" t="s">
        <v>480</v>
      </c>
      <c r="C139" s="438" t="s">
        <v>131</v>
      </c>
      <c r="D139" s="623">
        <v>0</v>
      </c>
      <c r="E139" s="452">
        <v>2850000</v>
      </c>
      <c r="F139" s="623">
        <v>0</v>
      </c>
      <c r="G139" s="452">
        <f t="shared" si="4"/>
        <v>2850000</v>
      </c>
    </row>
    <row r="140" spans="1:9" ht="14.1" customHeight="1" x14ac:dyDescent="0.25">
      <c r="A140" s="433" t="s">
        <v>508</v>
      </c>
      <c r="B140" s="437" t="s">
        <v>482</v>
      </c>
      <c r="C140" s="438" t="s">
        <v>132</v>
      </c>
      <c r="D140" s="623">
        <v>0</v>
      </c>
      <c r="E140" s="452">
        <v>2850000</v>
      </c>
      <c r="F140" s="623">
        <v>0</v>
      </c>
      <c r="G140" s="452">
        <f t="shared" si="4"/>
        <v>2850000</v>
      </c>
    </row>
    <row r="141" spans="1:9" ht="14.1" customHeight="1" x14ac:dyDescent="0.25">
      <c r="A141" s="433" t="s">
        <v>510</v>
      </c>
      <c r="B141" s="437" t="s">
        <v>484</v>
      </c>
      <c r="C141" s="438" t="s">
        <v>133</v>
      </c>
      <c r="D141" s="623">
        <v>0</v>
      </c>
      <c r="E141" s="452">
        <v>2850000</v>
      </c>
      <c r="F141" s="623">
        <v>0</v>
      </c>
      <c r="G141" s="452">
        <f t="shared" si="4"/>
        <v>2850000</v>
      </c>
    </row>
    <row r="142" spans="1:9" ht="14.1" customHeight="1" x14ac:dyDescent="0.25">
      <c r="A142" s="569"/>
      <c r="B142" s="571"/>
      <c r="C142" s="575" t="s">
        <v>1376</v>
      </c>
      <c r="D142" s="624"/>
      <c r="E142" s="625"/>
      <c r="F142" s="624"/>
      <c r="G142" s="625"/>
    </row>
    <row r="143" spans="1:9" ht="26.25" x14ac:dyDescent="0.25">
      <c r="A143" s="568" t="s">
        <v>512</v>
      </c>
      <c r="B143" s="435" t="s">
        <v>1173</v>
      </c>
      <c r="C143" s="436" t="s">
        <v>214</v>
      </c>
      <c r="D143" s="622">
        <v>459371330.75</v>
      </c>
      <c r="E143" s="622">
        <v>6792500</v>
      </c>
      <c r="F143" s="622">
        <v>70445000</v>
      </c>
      <c r="G143" s="622">
        <f t="shared" si="4"/>
        <v>536608830.75</v>
      </c>
      <c r="I143" s="10"/>
    </row>
    <row r="144" spans="1:9" ht="14.1" customHeight="1" x14ac:dyDescent="0.25">
      <c r="A144" s="433" t="s">
        <v>513</v>
      </c>
      <c r="B144" s="437" t="s">
        <v>486</v>
      </c>
      <c r="C144" s="438" t="s">
        <v>91</v>
      </c>
      <c r="D144" s="452">
        <v>33124622.920000002</v>
      </c>
      <c r="E144" s="452">
        <v>6236750</v>
      </c>
      <c r="F144" s="452">
        <v>4050000</v>
      </c>
      <c r="G144" s="452">
        <f t="shared" si="4"/>
        <v>43411372.920000002</v>
      </c>
    </row>
    <row r="145" spans="1:9" ht="14.1" customHeight="1" x14ac:dyDescent="0.25">
      <c r="A145" s="433" t="s">
        <v>514</v>
      </c>
      <c r="B145" s="437" t="s">
        <v>152</v>
      </c>
      <c r="C145" s="438" t="s">
        <v>92</v>
      </c>
      <c r="D145" s="452">
        <v>696733931.38999999</v>
      </c>
      <c r="E145" s="452">
        <v>13585000</v>
      </c>
      <c r="F145" s="452">
        <v>130340000</v>
      </c>
      <c r="G145" s="452">
        <f t="shared" si="4"/>
        <v>840658931.38999999</v>
      </c>
    </row>
    <row r="146" spans="1:9" ht="26.25" x14ac:dyDescent="0.25">
      <c r="A146" s="433" t="s">
        <v>515</v>
      </c>
      <c r="B146" s="437" t="s">
        <v>1177</v>
      </c>
      <c r="C146" s="434" t="s">
        <v>1178</v>
      </c>
      <c r="D146" s="623">
        <v>0</v>
      </c>
      <c r="E146" s="452">
        <v>6000000</v>
      </c>
      <c r="F146" s="623">
        <v>0</v>
      </c>
      <c r="G146" s="452">
        <f t="shared" si="4"/>
        <v>6000000</v>
      </c>
      <c r="I146" s="10"/>
    </row>
    <row r="147" spans="1:9" x14ac:dyDescent="0.25">
      <c r="A147" s="433" t="s">
        <v>1168</v>
      </c>
      <c r="B147" s="451" t="s">
        <v>1195</v>
      </c>
      <c r="C147" s="450" t="s">
        <v>1197</v>
      </c>
      <c r="D147" s="623">
        <v>0</v>
      </c>
      <c r="E147" s="452">
        <f>'Details SP'!H149</f>
        <v>4000000</v>
      </c>
      <c r="F147" s="623"/>
      <c r="G147" s="452">
        <f t="shared" si="4"/>
        <v>4000000</v>
      </c>
      <c r="I147" s="10"/>
    </row>
    <row r="148" spans="1:9" ht="12.95" customHeight="1" x14ac:dyDescent="0.25">
      <c r="A148" s="433" t="s">
        <v>1169</v>
      </c>
      <c r="B148" s="437" t="s">
        <v>1134</v>
      </c>
      <c r="C148" s="434" t="s">
        <v>823</v>
      </c>
      <c r="D148" s="623">
        <f>'Personnel Details'!G19</f>
        <v>16147061.25</v>
      </c>
      <c r="E148" s="452">
        <v>9500000</v>
      </c>
      <c r="F148" s="623">
        <v>0</v>
      </c>
      <c r="G148" s="452">
        <f t="shared" si="4"/>
        <v>25647061.25</v>
      </c>
    </row>
    <row r="149" spans="1:9" x14ac:dyDescent="0.25">
      <c r="A149" s="433" t="s">
        <v>1170</v>
      </c>
      <c r="B149" s="437" t="s">
        <v>235</v>
      </c>
      <c r="C149" s="434" t="s">
        <v>215</v>
      </c>
      <c r="D149" s="452">
        <v>698944375.97000003</v>
      </c>
      <c r="E149" s="452">
        <v>6080000</v>
      </c>
      <c r="F149" s="623">
        <v>0</v>
      </c>
      <c r="G149" s="452">
        <f t="shared" si="4"/>
        <v>705024375.97000003</v>
      </c>
    </row>
    <row r="150" spans="1:9" ht="26.25" x14ac:dyDescent="0.25">
      <c r="A150" s="433" t="s">
        <v>1171</v>
      </c>
      <c r="B150" s="437" t="s">
        <v>221</v>
      </c>
      <c r="C150" s="434" t="s">
        <v>261</v>
      </c>
      <c r="D150" s="623">
        <v>0</v>
      </c>
      <c r="E150" s="623">
        <v>0</v>
      </c>
      <c r="F150" s="623">
        <v>0</v>
      </c>
      <c r="G150" s="623">
        <f t="shared" si="4"/>
        <v>0</v>
      </c>
    </row>
    <row r="151" spans="1:9" ht="12.95" customHeight="1" x14ac:dyDescent="0.25">
      <c r="A151" s="433" t="s">
        <v>1172</v>
      </c>
      <c r="B151" s="437" t="s">
        <v>491</v>
      </c>
      <c r="C151" s="434" t="s">
        <v>1067</v>
      </c>
      <c r="D151" s="452">
        <f>'Personnel Details'!G20</f>
        <v>8746213413.6299992</v>
      </c>
      <c r="E151" s="452">
        <v>12967500</v>
      </c>
      <c r="F151" s="452">
        <v>27000000</v>
      </c>
      <c r="G151" s="452">
        <f t="shared" si="4"/>
        <v>8786180913.6299992</v>
      </c>
    </row>
    <row r="152" spans="1:9" x14ac:dyDescent="0.25">
      <c r="A152" s="433" t="s">
        <v>1174</v>
      </c>
      <c r="B152" s="437" t="s">
        <v>493</v>
      </c>
      <c r="C152" s="434" t="s">
        <v>134</v>
      </c>
      <c r="D152" s="623">
        <v>0</v>
      </c>
      <c r="E152" s="452">
        <v>3705000</v>
      </c>
      <c r="F152" s="623">
        <v>0</v>
      </c>
      <c r="G152" s="452">
        <f t="shared" si="4"/>
        <v>3705000</v>
      </c>
    </row>
    <row r="153" spans="1:9" x14ac:dyDescent="0.25">
      <c r="A153" s="433" t="s">
        <v>1175</v>
      </c>
      <c r="B153" s="437" t="s">
        <v>495</v>
      </c>
      <c r="C153" s="434" t="s">
        <v>93</v>
      </c>
      <c r="D153" s="623">
        <v>0</v>
      </c>
      <c r="E153" s="452">
        <v>2850000</v>
      </c>
      <c r="F153" s="623">
        <v>0</v>
      </c>
      <c r="G153" s="452">
        <f t="shared" si="4"/>
        <v>2850000</v>
      </c>
    </row>
    <row r="154" spans="1:9" x14ac:dyDescent="0.25">
      <c r="A154" s="433" t="s">
        <v>1176</v>
      </c>
      <c r="B154" s="437" t="s">
        <v>497</v>
      </c>
      <c r="C154" s="434" t="s">
        <v>547</v>
      </c>
      <c r="D154" s="623">
        <v>0</v>
      </c>
      <c r="E154" s="452">
        <v>7718750</v>
      </c>
      <c r="F154" s="452">
        <f>25000000-15000000</f>
        <v>10000000</v>
      </c>
      <c r="G154" s="452">
        <f t="shared" si="4"/>
        <v>17718750</v>
      </c>
    </row>
    <row r="155" spans="1:9" x14ac:dyDescent="0.25">
      <c r="A155" s="433" t="s">
        <v>1179</v>
      </c>
      <c r="B155" s="437" t="s">
        <v>499</v>
      </c>
      <c r="C155" s="434" t="s">
        <v>94</v>
      </c>
      <c r="D155" s="623">
        <v>0</v>
      </c>
      <c r="E155" s="452">
        <v>7175350</v>
      </c>
      <c r="F155" s="623">
        <v>0</v>
      </c>
      <c r="G155" s="452">
        <f t="shared" si="4"/>
        <v>7175350</v>
      </c>
    </row>
    <row r="156" spans="1:9" x14ac:dyDescent="0.25">
      <c r="A156" s="433" t="s">
        <v>1180</v>
      </c>
      <c r="B156" s="437" t="s">
        <v>244</v>
      </c>
      <c r="C156" s="434" t="s">
        <v>189</v>
      </c>
      <c r="D156" s="452">
        <v>183970070.46000001</v>
      </c>
      <c r="E156" s="452">
        <v>13585000</v>
      </c>
      <c r="F156" s="452">
        <v>40000000</v>
      </c>
      <c r="G156" s="452">
        <f t="shared" si="4"/>
        <v>237555070.46000001</v>
      </c>
    </row>
    <row r="157" spans="1:9" x14ac:dyDescent="0.25">
      <c r="A157" s="433" t="s">
        <v>1181</v>
      </c>
      <c r="B157" s="437" t="s">
        <v>502</v>
      </c>
      <c r="C157" s="434" t="s">
        <v>503</v>
      </c>
      <c r="D157" s="623">
        <f>'Personnel Details'!G21</f>
        <v>9447058.75</v>
      </c>
      <c r="E157" s="452">
        <v>8645000</v>
      </c>
      <c r="F157" s="623">
        <v>0</v>
      </c>
      <c r="G157" s="452">
        <f t="shared" si="4"/>
        <v>18092058.75</v>
      </c>
    </row>
    <row r="158" spans="1:9" x14ac:dyDescent="0.25">
      <c r="A158" s="433" t="s">
        <v>1182</v>
      </c>
      <c r="B158" s="437" t="s">
        <v>225</v>
      </c>
      <c r="C158" s="434" t="s">
        <v>95</v>
      </c>
      <c r="D158" s="452">
        <v>217423147.91999999</v>
      </c>
      <c r="E158" s="452">
        <v>11732500</v>
      </c>
      <c r="F158" s="452">
        <v>30000000</v>
      </c>
      <c r="G158" s="452">
        <f t="shared" si="4"/>
        <v>259155647.91999999</v>
      </c>
    </row>
    <row r="159" spans="1:9" x14ac:dyDescent="0.25">
      <c r="A159" s="433" t="s">
        <v>1183</v>
      </c>
      <c r="B159" s="437" t="s">
        <v>226</v>
      </c>
      <c r="C159" s="434" t="s">
        <v>96</v>
      </c>
      <c r="D159" s="452">
        <f>'Pooled fund personnel'!I13</f>
        <v>265485193.83999997</v>
      </c>
      <c r="E159" s="452">
        <v>13585000</v>
      </c>
      <c r="F159" s="452">
        <f>'Details SP'!H884</f>
        <v>132500000</v>
      </c>
      <c r="G159" s="452">
        <f t="shared" si="4"/>
        <v>411570193.83999997</v>
      </c>
    </row>
    <row r="160" spans="1:9" x14ac:dyDescent="0.25">
      <c r="A160" s="433" t="s">
        <v>1184</v>
      </c>
      <c r="B160" s="437" t="s">
        <v>991</v>
      </c>
      <c r="C160" s="434" t="s">
        <v>992</v>
      </c>
      <c r="D160" s="623">
        <v>0</v>
      </c>
      <c r="E160" s="623">
        <v>0</v>
      </c>
      <c r="F160" s="623">
        <v>0</v>
      </c>
      <c r="G160" s="623">
        <f t="shared" si="4"/>
        <v>0</v>
      </c>
    </row>
    <row r="161" spans="1:7" x14ac:dyDescent="0.25">
      <c r="A161" s="433" t="s">
        <v>1185</v>
      </c>
      <c r="B161" s="437" t="s">
        <v>1188</v>
      </c>
      <c r="C161" s="442" t="s">
        <v>135</v>
      </c>
      <c r="D161" s="452">
        <v>68344724.579999998</v>
      </c>
      <c r="E161" s="452">
        <v>12825000</v>
      </c>
      <c r="F161" s="452">
        <v>18850000</v>
      </c>
      <c r="G161" s="452">
        <f t="shared" si="4"/>
        <v>100019724.58</v>
      </c>
    </row>
    <row r="162" spans="1:7" x14ac:dyDescent="0.25">
      <c r="A162" s="433" t="s">
        <v>1186</v>
      </c>
      <c r="B162" s="437" t="s">
        <v>1189</v>
      </c>
      <c r="C162" s="434" t="s">
        <v>97</v>
      </c>
      <c r="D162" s="623">
        <v>0</v>
      </c>
      <c r="E162" s="452">
        <v>3500000</v>
      </c>
      <c r="F162" s="623">
        <v>0</v>
      </c>
      <c r="G162" s="452">
        <f t="shared" si="4"/>
        <v>3500000</v>
      </c>
    </row>
    <row r="163" spans="1:7" ht="16.5" customHeight="1" x14ac:dyDescent="0.25">
      <c r="A163" s="433" t="s">
        <v>1187</v>
      </c>
      <c r="B163" s="437" t="s">
        <v>509</v>
      </c>
      <c r="C163" s="434" t="s">
        <v>216</v>
      </c>
      <c r="D163" s="452">
        <v>69395542.519999996</v>
      </c>
      <c r="E163" s="452">
        <v>18525000</v>
      </c>
      <c r="F163" s="452">
        <v>5000000</v>
      </c>
      <c r="G163" s="452">
        <f t="shared" si="4"/>
        <v>92920542.519999996</v>
      </c>
    </row>
    <row r="164" spans="1:7" ht="15.75" customHeight="1" x14ac:dyDescent="0.25">
      <c r="A164" s="433" t="s">
        <v>1214</v>
      </c>
      <c r="B164" s="437" t="s">
        <v>511</v>
      </c>
      <c r="C164" s="442" t="s">
        <v>98</v>
      </c>
      <c r="D164" s="623">
        <v>0</v>
      </c>
      <c r="E164" s="452">
        <v>6000000</v>
      </c>
      <c r="F164" s="452">
        <v>7200000</v>
      </c>
      <c r="G164" s="452">
        <f t="shared" si="4"/>
        <v>13200000</v>
      </c>
    </row>
    <row r="165" spans="1:7" x14ac:dyDescent="0.25">
      <c r="A165" s="433" t="s">
        <v>1215</v>
      </c>
      <c r="B165" s="437"/>
      <c r="C165" s="444" t="s">
        <v>1190</v>
      </c>
      <c r="D165" s="630"/>
      <c r="E165" s="452"/>
      <c r="F165" s="452"/>
      <c r="G165" s="452">
        <f>Grants!J23</f>
        <v>9838400000</v>
      </c>
    </row>
    <row r="166" spans="1:7" ht="15.75" thickBot="1" x14ac:dyDescent="0.3">
      <c r="A166" s="433" t="s">
        <v>1441</v>
      </c>
      <c r="B166" s="445"/>
      <c r="C166" s="446" t="s">
        <v>1191</v>
      </c>
      <c r="D166" s="631"/>
      <c r="E166" s="632"/>
      <c r="F166" s="632"/>
      <c r="G166" s="632">
        <v>10915880000</v>
      </c>
    </row>
    <row r="167" spans="1:7" ht="15.75" thickBot="1" x14ac:dyDescent="0.3">
      <c r="A167" s="447"/>
      <c r="B167" s="219"/>
      <c r="C167" s="448" t="s">
        <v>38</v>
      </c>
      <c r="D167" s="449">
        <f t="shared" ref="D167:E167" si="5">SUM(D6:D166)</f>
        <v>39345528104.569992</v>
      </c>
      <c r="E167" s="449">
        <f t="shared" si="5"/>
        <v>4312714750</v>
      </c>
      <c r="F167" s="449">
        <f>SUM(F6:F166)</f>
        <v>14671855000</v>
      </c>
      <c r="G167" s="449">
        <f>SUM(G6:G166)</f>
        <v>79084377854.569977</v>
      </c>
    </row>
    <row r="168" spans="1:7" x14ac:dyDescent="0.25">
      <c r="G168" s="10"/>
    </row>
    <row r="169" spans="1:7" x14ac:dyDescent="0.25">
      <c r="D169" s="10"/>
    </row>
    <row r="171" spans="1:7" x14ac:dyDescent="0.25">
      <c r="G171" s="10"/>
    </row>
    <row r="172" spans="1:7" x14ac:dyDescent="0.25">
      <c r="C172" s="576" t="s">
        <v>1377</v>
      </c>
      <c r="D172" s="566"/>
      <c r="E172" s="567"/>
      <c r="G172" s="10"/>
    </row>
    <row r="173" spans="1:7" x14ac:dyDescent="0.25">
      <c r="C173" s="576"/>
      <c r="D173" s="566"/>
    </row>
    <row r="176" spans="1:7" x14ac:dyDescent="0.25">
      <c r="E176" s="3"/>
    </row>
  </sheetData>
  <mergeCells count="4">
    <mergeCell ref="A1:G1"/>
    <mergeCell ref="A2:G2"/>
    <mergeCell ref="A3:G3"/>
    <mergeCell ref="A4:G4"/>
  </mergeCells>
  <pageMargins left="0.5" right="0.1" top="0.75" bottom="0.75" header="0.3" footer="0.3"/>
  <pageSetup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5"/>
  <sheetViews>
    <sheetView topLeftCell="A115" workbookViewId="0">
      <selection activeCell="D125" sqref="D125"/>
    </sheetView>
  </sheetViews>
  <sheetFormatPr defaultRowHeight="18.75" customHeight="1" x14ac:dyDescent="0.25"/>
  <cols>
    <col min="1" max="1" width="5.42578125" style="183" bestFit="1" customWidth="1"/>
    <col min="2" max="2" width="13.140625" style="183" bestFit="1" customWidth="1"/>
    <col min="3" max="3" width="55.85546875" style="183" customWidth="1"/>
    <col min="4" max="9" width="21.85546875" customWidth="1"/>
  </cols>
  <sheetData>
    <row r="1" spans="1:5" ht="12.75" customHeight="1" x14ac:dyDescent="0.25">
      <c r="A1" s="685" t="s">
        <v>270</v>
      </c>
      <c r="B1" s="685"/>
      <c r="C1" s="685"/>
      <c r="D1" s="685"/>
      <c r="E1" s="685"/>
    </row>
    <row r="2" spans="1:5" ht="18.75" customHeight="1" x14ac:dyDescent="0.25">
      <c r="A2" s="685" t="s">
        <v>516</v>
      </c>
      <c r="B2" s="685"/>
      <c r="C2" s="685"/>
      <c r="D2" s="685"/>
      <c r="E2" s="685"/>
    </row>
    <row r="3" spans="1:5" ht="17.25" customHeight="1" x14ac:dyDescent="0.25">
      <c r="A3" s="685" t="s">
        <v>1479</v>
      </c>
      <c r="B3" s="685"/>
      <c r="C3" s="685"/>
      <c r="D3" s="685"/>
      <c r="E3" s="685"/>
    </row>
    <row r="4" spans="1:5" ht="18.75" customHeight="1" x14ac:dyDescent="0.25">
      <c r="A4" s="685" t="s">
        <v>137</v>
      </c>
      <c r="B4" s="685"/>
      <c r="C4" s="685"/>
      <c r="D4" s="685"/>
      <c r="E4" s="685"/>
    </row>
    <row r="5" spans="1:5" ht="33.75" customHeight="1" x14ac:dyDescent="0.25">
      <c r="A5" s="461" t="s">
        <v>0</v>
      </c>
      <c r="B5" s="461" t="s">
        <v>16</v>
      </c>
      <c r="C5" s="461" t="s">
        <v>1199</v>
      </c>
      <c r="D5" s="462" t="s">
        <v>1200</v>
      </c>
      <c r="E5" s="462" t="s">
        <v>38</v>
      </c>
    </row>
    <row r="6" spans="1:5" ht="30" x14ac:dyDescent="0.25">
      <c r="A6" s="453" t="s">
        <v>143</v>
      </c>
      <c r="B6" s="453" t="s">
        <v>277</v>
      </c>
      <c r="C6" s="454" t="s">
        <v>39</v>
      </c>
      <c r="D6" s="635">
        <f>120000000+23000000</f>
        <v>143000000</v>
      </c>
      <c r="E6" s="244">
        <f t="shared" ref="E6:E32" si="0">SUM(D6:D6)</f>
        <v>143000000</v>
      </c>
    </row>
    <row r="7" spans="1:5" ht="18.75" customHeight="1" x14ac:dyDescent="0.25">
      <c r="A7" s="453" t="s">
        <v>144</v>
      </c>
      <c r="B7" s="453" t="s">
        <v>278</v>
      </c>
      <c r="C7" s="454" t="s">
        <v>40</v>
      </c>
      <c r="D7" s="635">
        <v>30000000</v>
      </c>
      <c r="E7" s="244">
        <f t="shared" si="0"/>
        <v>30000000</v>
      </c>
    </row>
    <row r="8" spans="1:5" ht="18.75" customHeight="1" x14ac:dyDescent="0.25">
      <c r="A8" s="453" t="s">
        <v>145</v>
      </c>
      <c r="B8" s="453" t="s">
        <v>281</v>
      </c>
      <c r="C8" s="454" t="s">
        <v>41</v>
      </c>
      <c r="D8" s="635">
        <v>1600000</v>
      </c>
      <c r="E8" s="244">
        <f t="shared" si="0"/>
        <v>1600000</v>
      </c>
    </row>
    <row r="9" spans="1:5" ht="18.75" customHeight="1" x14ac:dyDescent="0.25">
      <c r="A9" s="453" t="s">
        <v>20</v>
      </c>
      <c r="B9" s="453" t="s">
        <v>517</v>
      </c>
      <c r="C9" s="454" t="s">
        <v>42</v>
      </c>
      <c r="D9" s="635">
        <v>250000000</v>
      </c>
      <c r="E9" s="244">
        <f t="shared" si="0"/>
        <v>250000000</v>
      </c>
    </row>
    <row r="10" spans="1:5" ht="18.75" customHeight="1" x14ac:dyDescent="0.25">
      <c r="A10" s="453" t="s">
        <v>146</v>
      </c>
      <c r="B10" s="453" t="s">
        <v>1144</v>
      </c>
      <c r="C10" s="454" t="s">
        <v>282</v>
      </c>
      <c r="D10" s="635">
        <f>70000000+517056000</f>
        <v>587056000</v>
      </c>
      <c r="E10" s="244">
        <f t="shared" si="0"/>
        <v>587056000</v>
      </c>
    </row>
    <row r="11" spans="1:5" ht="30" x14ac:dyDescent="0.25">
      <c r="A11" s="453" t="s">
        <v>21</v>
      </c>
      <c r="B11" s="453" t="s">
        <v>993</v>
      </c>
      <c r="C11" s="454" t="s">
        <v>190</v>
      </c>
      <c r="D11" s="635">
        <f>1000000000-340000000+5000000</f>
        <v>665000000</v>
      </c>
      <c r="E11" s="244">
        <f t="shared" si="0"/>
        <v>665000000</v>
      </c>
    </row>
    <row r="12" spans="1:5" ht="18.75" customHeight="1" x14ac:dyDescent="0.25">
      <c r="A12" s="453" t="s">
        <v>22</v>
      </c>
      <c r="B12" s="453" t="s">
        <v>285</v>
      </c>
      <c r="C12" s="454" t="s">
        <v>25</v>
      </c>
      <c r="D12" s="635">
        <f>830000000+1140000000</f>
        <v>1970000000</v>
      </c>
      <c r="E12" s="244">
        <f t="shared" si="0"/>
        <v>1970000000</v>
      </c>
    </row>
    <row r="13" spans="1:5" ht="18.75" customHeight="1" x14ac:dyDescent="0.25">
      <c r="A13" s="453" t="s">
        <v>284</v>
      </c>
      <c r="B13" s="453" t="s">
        <v>288</v>
      </c>
      <c r="C13" s="454" t="s">
        <v>101</v>
      </c>
      <c r="D13" s="635">
        <v>6000000</v>
      </c>
      <c r="E13" s="244">
        <f t="shared" si="0"/>
        <v>6000000</v>
      </c>
    </row>
    <row r="14" spans="1:5" ht="30" x14ac:dyDescent="0.25">
      <c r="A14" s="453" t="s">
        <v>30</v>
      </c>
      <c r="B14" s="437" t="s">
        <v>1145</v>
      </c>
      <c r="C14" s="454" t="s">
        <v>1372</v>
      </c>
      <c r="D14" s="635">
        <v>1660306813</v>
      </c>
      <c r="E14" s="244">
        <f t="shared" si="0"/>
        <v>1660306813</v>
      </c>
    </row>
    <row r="15" spans="1:5" ht="18.75" customHeight="1" x14ac:dyDescent="0.25">
      <c r="A15" s="453" t="s">
        <v>287</v>
      </c>
      <c r="B15" s="453" t="s">
        <v>291</v>
      </c>
      <c r="C15" s="454" t="s">
        <v>43</v>
      </c>
      <c r="D15" s="635">
        <v>16000000</v>
      </c>
      <c r="E15" s="244">
        <f t="shared" si="0"/>
        <v>16000000</v>
      </c>
    </row>
    <row r="16" spans="1:5" ht="18.75" customHeight="1" x14ac:dyDescent="0.25">
      <c r="A16" s="453" t="s">
        <v>289</v>
      </c>
      <c r="B16" s="453" t="s">
        <v>293</v>
      </c>
      <c r="C16" s="454" t="s">
        <v>44</v>
      </c>
      <c r="D16" s="635">
        <v>65000000</v>
      </c>
      <c r="E16" s="244">
        <f t="shared" si="0"/>
        <v>65000000</v>
      </c>
    </row>
    <row r="17" spans="1:5" ht="30" x14ac:dyDescent="0.25">
      <c r="A17" s="453" t="s">
        <v>290</v>
      </c>
      <c r="B17" s="453" t="s">
        <v>598</v>
      </c>
      <c r="C17" s="454" t="s">
        <v>45</v>
      </c>
      <c r="D17" s="635">
        <v>144000000</v>
      </c>
      <c r="E17" s="244">
        <f t="shared" si="0"/>
        <v>144000000</v>
      </c>
    </row>
    <row r="18" spans="1:5" ht="30" x14ac:dyDescent="0.25">
      <c r="A18" s="453" t="s">
        <v>292</v>
      </c>
      <c r="B18" s="453" t="s">
        <v>296</v>
      </c>
      <c r="C18" s="454" t="s">
        <v>148</v>
      </c>
      <c r="D18" s="635">
        <v>10000000</v>
      </c>
      <c r="E18" s="244">
        <f t="shared" si="0"/>
        <v>10000000</v>
      </c>
    </row>
    <row r="19" spans="1:5" ht="18.75" customHeight="1" x14ac:dyDescent="0.25">
      <c r="A19" s="453" t="s">
        <v>294</v>
      </c>
      <c r="B19" s="453" t="s">
        <v>298</v>
      </c>
      <c r="C19" s="454" t="s">
        <v>102</v>
      </c>
      <c r="D19" s="635">
        <v>15000000</v>
      </c>
      <c r="E19" s="244">
        <f t="shared" si="0"/>
        <v>15000000</v>
      </c>
    </row>
    <row r="20" spans="1:5" ht="18.75" customHeight="1" x14ac:dyDescent="0.25">
      <c r="A20" s="453" t="s">
        <v>295</v>
      </c>
      <c r="B20" s="453" t="s">
        <v>300</v>
      </c>
      <c r="C20" s="454" t="s">
        <v>46</v>
      </c>
      <c r="D20" s="635">
        <v>16000000</v>
      </c>
      <c r="E20" s="244">
        <f t="shared" si="0"/>
        <v>16000000</v>
      </c>
    </row>
    <row r="21" spans="1:5" ht="18.75" customHeight="1" x14ac:dyDescent="0.25">
      <c r="A21" s="453" t="s">
        <v>297</v>
      </c>
      <c r="B21" s="453" t="s">
        <v>302</v>
      </c>
      <c r="C21" s="454" t="s">
        <v>47</v>
      </c>
      <c r="D21" s="635">
        <v>3000000</v>
      </c>
      <c r="E21" s="244">
        <f t="shared" si="0"/>
        <v>3000000</v>
      </c>
    </row>
    <row r="22" spans="1:5" ht="30" x14ac:dyDescent="0.25">
      <c r="A22" s="453" t="s">
        <v>299</v>
      </c>
      <c r="B22" s="453" t="s">
        <v>304</v>
      </c>
      <c r="C22" s="454" t="s">
        <v>202</v>
      </c>
      <c r="D22" s="635">
        <f>20000000+40000000</f>
        <v>60000000</v>
      </c>
      <c r="E22" s="244">
        <f t="shared" si="0"/>
        <v>60000000</v>
      </c>
    </row>
    <row r="23" spans="1:5" ht="15" x14ac:dyDescent="0.25">
      <c r="A23" s="577"/>
      <c r="B23" s="577"/>
      <c r="C23" s="579" t="s">
        <v>1379</v>
      </c>
      <c r="D23" s="636"/>
      <c r="E23" s="578"/>
    </row>
    <row r="24" spans="1:5" ht="18.75" customHeight="1" x14ac:dyDescent="0.25">
      <c r="A24" s="455" t="s">
        <v>301</v>
      </c>
      <c r="B24" s="455" t="s">
        <v>1146</v>
      </c>
      <c r="C24" s="459" t="s">
        <v>48</v>
      </c>
      <c r="D24" s="637">
        <v>5000000</v>
      </c>
      <c r="E24" s="457">
        <f t="shared" si="0"/>
        <v>5000000</v>
      </c>
    </row>
    <row r="25" spans="1:5" ht="27.75" x14ac:dyDescent="0.25">
      <c r="A25" s="455" t="s">
        <v>303</v>
      </c>
      <c r="B25" s="455" t="s">
        <v>525</v>
      </c>
      <c r="C25" s="456" t="s">
        <v>1147</v>
      </c>
      <c r="D25" s="637">
        <v>2000000</v>
      </c>
      <c r="E25" s="457">
        <f t="shared" si="0"/>
        <v>2000000</v>
      </c>
    </row>
    <row r="26" spans="1:5" ht="27.75" x14ac:dyDescent="0.25">
      <c r="A26" s="453" t="s">
        <v>305</v>
      </c>
      <c r="B26" s="453" t="s">
        <v>307</v>
      </c>
      <c r="C26" s="439" t="s">
        <v>49</v>
      </c>
      <c r="D26" s="635">
        <v>1468800000</v>
      </c>
      <c r="E26" s="244">
        <f t="shared" si="0"/>
        <v>1468800000</v>
      </c>
    </row>
    <row r="27" spans="1:5" ht="18.75" customHeight="1" x14ac:dyDescent="0.25">
      <c r="A27" s="455" t="s">
        <v>518</v>
      </c>
      <c r="B27" s="453" t="s">
        <v>309</v>
      </c>
      <c r="C27" s="439" t="s">
        <v>50</v>
      </c>
      <c r="D27" s="635">
        <f>1150000000-300000000</f>
        <v>850000000</v>
      </c>
      <c r="E27" s="244">
        <f t="shared" si="0"/>
        <v>850000000</v>
      </c>
    </row>
    <row r="28" spans="1:5" ht="18.75" customHeight="1" x14ac:dyDescent="0.25">
      <c r="A28" s="453" t="s">
        <v>306</v>
      </c>
      <c r="B28" s="453" t="s">
        <v>311</v>
      </c>
      <c r="C28" s="439" t="s">
        <v>51</v>
      </c>
      <c r="D28" s="635">
        <v>12300000</v>
      </c>
      <c r="E28" s="244">
        <f t="shared" si="0"/>
        <v>12300000</v>
      </c>
    </row>
    <row r="29" spans="1:5" ht="18.75" customHeight="1" x14ac:dyDescent="0.25">
      <c r="A29" s="455" t="s">
        <v>308</v>
      </c>
      <c r="B29" s="453" t="s">
        <v>313</v>
      </c>
      <c r="C29" s="439" t="s">
        <v>103</v>
      </c>
      <c r="D29" s="638">
        <v>0</v>
      </c>
      <c r="E29" s="458">
        <f t="shared" si="0"/>
        <v>0</v>
      </c>
    </row>
    <row r="30" spans="1:5" ht="16.5" customHeight="1" x14ac:dyDescent="0.25">
      <c r="A30" s="453" t="s">
        <v>310</v>
      </c>
      <c r="B30" s="453" t="s">
        <v>315</v>
      </c>
      <c r="C30" s="439" t="s">
        <v>104</v>
      </c>
      <c r="D30" s="638">
        <v>0</v>
      </c>
      <c r="E30" s="458">
        <f t="shared" si="0"/>
        <v>0</v>
      </c>
    </row>
    <row r="31" spans="1:5" ht="18.75" customHeight="1" x14ac:dyDescent="0.25">
      <c r="A31" s="455" t="s">
        <v>312</v>
      </c>
      <c r="B31" s="453" t="s">
        <v>317</v>
      </c>
      <c r="C31" s="439" t="s">
        <v>105</v>
      </c>
      <c r="D31" s="638">
        <v>0</v>
      </c>
      <c r="E31" s="458">
        <f t="shared" si="0"/>
        <v>0</v>
      </c>
    </row>
    <row r="32" spans="1:5" ht="18.75" customHeight="1" x14ac:dyDescent="0.25">
      <c r="A32" s="453" t="s">
        <v>314</v>
      </c>
      <c r="B32" s="453" t="s">
        <v>319</v>
      </c>
      <c r="C32" s="439" t="s">
        <v>192</v>
      </c>
      <c r="D32" s="635">
        <v>124000000</v>
      </c>
      <c r="E32" s="244">
        <f t="shared" si="0"/>
        <v>124000000</v>
      </c>
    </row>
    <row r="33" spans="1:5" ht="18.75" customHeight="1" x14ac:dyDescent="0.25">
      <c r="A33" s="455" t="s">
        <v>316</v>
      </c>
      <c r="B33" s="453" t="s">
        <v>321</v>
      </c>
      <c r="C33" s="439" t="s">
        <v>52</v>
      </c>
      <c r="D33" s="635">
        <v>183000000</v>
      </c>
      <c r="E33" s="244">
        <f t="shared" ref="E33:E59" si="1">SUM(D33:D33)</f>
        <v>183000000</v>
      </c>
    </row>
    <row r="34" spans="1:5" ht="18.75" customHeight="1" x14ac:dyDescent="0.25">
      <c r="A34" s="453" t="s">
        <v>318</v>
      </c>
      <c r="B34" s="453" t="s">
        <v>323</v>
      </c>
      <c r="C34" s="439" t="s">
        <v>24</v>
      </c>
      <c r="D34" s="635">
        <v>80000000</v>
      </c>
      <c r="E34" s="244">
        <f t="shared" si="1"/>
        <v>80000000</v>
      </c>
    </row>
    <row r="35" spans="1:5" ht="18.75" customHeight="1" x14ac:dyDescent="0.25">
      <c r="A35" s="455" t="s">
        <v>320</v>
      </c>
      <c r="B35" s="453" t="s">
        <v>519</v>
      </c>
      <c r="C35" s="439" t="s">
        <v>217</v>
      </c>
      <c r="D35" s="635">
        <v>20000000</v>
      </c>
      <c r="E35" s="244">
        <f t="shared" si="1"/>
        <v>20000000</v>
      </c>
    </row>
    <row r="36" spans="1:5" ht="18.75" customHeight="1" x14ac:dyDescent="0.25">
      <c r="A36" s="453" t="s">
        <v>322</v>
      </c>
      <c r="B36" s="453" t="s">
        <v>326</v>
      </c>
      <c r="C36" s="439" t="s">
        <v>106</v>
      </c>
      <c r="D36" s="635">
        <v>50000000</v>
      </c>
      <c r="E36" s="244">
        <f t="shared" si="1"/>
        <v>50000000</v>
      </c>
    </row>
    <row r="37" spans="1:5" ht="18.75" customHeight="1" x14ac:dyDescent="0.25">
      <c r="A37" s="455" t="s">
        <v>324</v>
      </c>
      <c r="B37" s="453" t="s">
        <v>980</v>
      </c>
      <c r="C37" s="439" t="s">
        <v>981</v>
      </c>
      <c r="D37" s="638">
        <v>0</v>
      </c>
      <c r="E37" s="458">
        <f t="shared" si="1"/>
        <v>0</v>
      </c>
    </row>
    <row r="38" spans="1:5" ht="15" x14ac:dyDescent="0.25">
      <c r="A38" s="453" t="s">
        <v>325</v>
      </c>
      <c r="B38" s="453" t="s">
        <v>982</v>
      </c>
      <c r="C38" s="439" t="s">
        <v>983</v>
      </c>
      <c r="D38" s="638">
        <v>0</v>
      </c>
      <c r="E38" s="458">
        <f t="shared" si="1"/>
        <v>0</v>
      </c>
    </row>
    <row r="39" spans="1:5" ht="27.75" x14ac:dyDescent="0.25">
      <c r="A39" s="455" t="s">
        <v>327</v>
      </c>
      <c r="B39" s="453" t="s">
        <v>976</v>
      </c>
      <c r="C39" s="439" t="s">
        <v>977</v>
      </c>
      <c r="D39" s="635">
        <f>350000000+200000000</f>
        <v>550000000</v>
      </c>
      <c r="E39" s="244">
        <f t="shared" si="1"/>
        <v>550000000</v>
      </c>
    </row>
    <row r="40" spans="1:5" ht="18.75" customHeight="1" x14ac:dyDescent="0.25">
      <c r="A40" s="453" t="s">
        <v>329</v>
      </c>
      <c r="B40" s="453" t="s">
        <v>328</v>
      </c>
      <c r="C40" s="439" t="s">
        <v>107</v>
      </c>
      <c r="D40" s="638">
        <v>0</v>
      </c>
      <c r="E40" s="458">
        <f t="shared" si="1"/>
        <v>0</v>
      </c>
    </row>
    <row r="41" spans="1:5" ht="18.75" customHeight="1" x14ac:dyDescent="0.25">
      <c r="A41" s="455" t="s">
        <v>331</v>
      </c>
      <c r="B41" s="453" t="s">
        <v>330</v>
      </c>
      <c r="C41" s="439" t="s">
        <v>53</v>
      </c>
      <c r="D41" s="635">
        <v>9000000</v>
      </c>
      <c r="E41" s="244">
        <f t="shared" si="1"/>
        <v>9000000</v>
      </c>
    </row>
    <row r="42" spans="1:5" ht="18.75" customHeight="1" x14ac:dyDescent="0.25">
      <c r="A42" s="453" t="s">
        <v>333</v>
      </c>
      <c r="B42" s="453" t="s">
        <v>984</v>
      </c>
      <c r="C42" s="439" t="s">
        <v>985</v>
      </c>
      <c r="D42" s="638">
        <v>0</v>
      </c>
      <c r="E42" s="458">
        <f t="shared" si="1"/>
        <v>0</v>
      </c>
    </row>
    <row r="43" spans="1:5" ht="18.75" customHeight="1" x14ac:dyDescent="0.25">
      <c r="A43" s="455" t="s">
        <v>335</v>
      </c>
      <c r="B43" s="453" t="s">
        <v>332</v>
      </c>
      <c r="C43" s="439" t="s">
        <v>108</v>
      </c>
      <c r="D43" s="638">
        <v>0</v>
      </c>
      <c r="E43" s="458">
        <f t="shared" si="1"/>
        <v>0</v>
      </c>
    </row>
    <row r="44" spans="1:5" ht="18.75" customHeight="1" x14ac:dyDescent="0.25">
      <c r="A44" s="453" t="s">
        <v>337</v>
      </c>
      <c r="B44" s="453" t="s">
        <v>334</v>
      </c>
      <c r="C44" s="439" t="s">
        <v>54</v>
      </c>
      <c r="D44" s="635">
        <v>40000000</v>
      </c>
      <c r="E44" s="244">
        <f t="shared" si="1"/>
        <v>40000000</v>
      </c>
    </row>
    <row r="45" spans="1:5" ht="18.75" customHeight="1" x14ac:dyDescent="0.25">
      <c r="A45" s="455" t="s">
        <v>339</v>
      </c>
      <c r="B45" s="453" t="s">
        <v>336</v>
      </c>
      <c r="C45" s="439" t="s">
        <v>55</v>
      </c>
      <c r="D45" s="635">
        <v>8000000</v>
      </c>
      <c r="E45" s="244">
        <f t="shared" si="1"/>
        <v>8000000</v>
      </c>
    </row>
    <row r="46" spans="1:5" ht="27.75" x14ac:dyDescent="0.25">
      <c r="A46" s="453" t="s">
        <v>341</v>
      </c>
      <c r="B46" s="453" t="s">
        <v>338</v>
      </c>
      <c r="C46" s="439" t="s">
        <v>109</v>
      </c>
      <c r="D46" s="638">
        <v>0</v>
      </c>
      <c r="E46" s="458">
        <f t="shared" si="1"/>
        <v>0</v>
      </c>
    </row>
    <row r="47" spans="1:5" ht="15" x14ac:dyDescent="0.25">
      <c r="A47" s="577"/>
      <c r="B47" s="577"/>
      <c r="C47" s="572" t="s">
        <v>1380</v>
      </c>
      <c r="D47" s="639"/>
      <c r="E47" s="580"/>
    </row>
    <row r="48" spans="1:5" ht="18.75" customHeight="1" x14ac:dyDescent="0.25">
      <c r="A48" s="455" t="s">
        <v>343</v>
      </c>
      <c r="B48" s="455" t="s">
        <v>340</v>
      </c>
      <c r="C48" s="456" t="s">
        <v>203</v>
      </c>
      <c r="D48" s="603">
        <v>0</v>
      </c>
      <c r="E48" s="460">
        <f t="shared" si="1"/>
        <v>0</v>
      </c>
    </row>
    <row r="49" spans="1:5" ht="18.75" customHeight="1" x14ac:dyDescent="0.25">
      <c r="A49" s="453" t="s">
        <v>345</v>
      </c>
      <c r="B49" s="453" t="s">
        <v>342</v>
      </c>
      <c r="C49" s="439" t="s">
        <v>110</v>
      </c>
      <c r="D49" s="635">
        <v>5000000</v>
      </c>
      <c r="E49" s="244">
        <f t="shared" si="1"/>
        <v>5000000</v>
      </c>
    </row>
    <row r="50" spans="1:5" ht="18.75" customHeight="1" x14ac:dyDescent="0.25">
      <c r="A50" s="455" t="s">
        <v>346</v>
      </c>
      <c r="B50" s="453" t="s">
        <v>344</v>
      </c>
      <c r="C50" s="439" t="s">
        <v>56</v>
      </c>
      <c r="D50" s="635">
        <v>7000000</v>
      </c>
      <c r="E50" s="244">
        <f t="shared" si="1"/>
        <v>7000000</v>
      </c>
    </row>
    <row r="51" spans="1:5" ht="18.75" customHeight="1" x14ac:dyDescent="0.25">
      <c r="A51" s="453" t="s">
        <v>348</v>
      </c>
      <c r="B51" s="453" t="s">
        <v>224</v>
      </c>
      <c r="C51" s="439" t="s">
        <v>57</v>
      </c>
      <c r="D51" s="635">
        <v>5000000</v>
      </c>
      <c r="E51" s="244">
        <f t="shared" si="1"/>
        <v>5000000</v>
      </c>
    </row>
    <row r="52" spans="1:5" ht="18" customHeight="1" x14ac:dyDescent="0.25">
      <c r="A52" s="455" t="s">
        <v>350</v>
      </c>
      <c r="B52" s="453" t="s">
        <v>347</v>
      </c>
      <c r="C52" s="439" t="s">
        <v>58</v>
      </c>
      <c r="D52" s="635">
        <v>20000000</v>
      </c>
      <c r="E52" s="244">
        <f t="shared" si="1"/>
        <v>20000000</v>
      </c>
    </row>
    <row r="53" spans="1:5" ht="30" x14ac:dyDescent="0.25">
      <c r="A53" s="453" t="s">
        <v>352</v>
      </c>
      <c r="B53" s="453" t="s">
        <v>349</v>
      </c>
      <c r="C53" s="454" t="s">
        <v>59</v>
      </c>
      <c r="D53" s="635">
        <f>20000000+7500000</f>
        <v>27500000</v>
      </c>
      <c r="E53" s="244">
        <f t="shared" si="1"/>
        <v>27500000</v>
      </c>
    </row>
    <row r="54" spans="1:5" ht="18.75" customHeight="1" x14ac:dyDescent="0.25">
      <c r="A54" s="455" t="s">
        <v>353</v>
      </c>
      <c r="B54" s="453" t="s">
        <v>230</v>
      </c>
      <c r="C54" s="439" t="s">
        <v>204</v>
      </c>
      <c r="D54" s="635">
        <f>2594700000+3000000</f>
        <v>2597700000</v>
      </c>
      <c r="E54" s="244">
        <f t="shared" si="1"/>
        <v>2597700000</v>
      </c>
    </row>
    <row r="55" spans="1:5" ht="18.75" customHeight="1" x14ac:dyDescent="0.25">
      <c r="A55" s="453" t="s">
        <v>355</v>
      </c>
      <c r="B55" s="453" t="s">
        <v>356</v>
      </c>
      <c r="C55" s="439" t="s">
        <v>60</v>
      </c>
      <c r="D55" s="638">
        <v>80000000</v>
      </c>
      <c r="E55" s="458">
        <f t="shared" si="1"/>
        <v>80000000</v>
      </c>
    </row>
    <row r="56" spans="1:5" ht="18.75" customHeight="1" x14ac:dyDescent="0.25">
      <c r="A56" s="455" t="s">
        <v>357</v>
      </c>
      <c r="B56" s="453" t="s">
        <v>234</v>
      </c>
      <c r="C56" s="439" t="s">
        <v>61</v>
      </c>
      <c r="D56" s="635">
        <v>25000000</v>
      </c>
      <c r="E56" s="244">
        <f t="shared" si="1"/>
        <v>25000000</v>
      </c>
    </row>
    <row r="57" spans="1:5" ht="17.25" customHeight="1" x14ac:dyDescent="0.25">
      <c r="A57" s="453" t="s">
        <v>359</v>
      </c>
      <c r="B57" s="453" t="s">
        <v>361</v>
      </c>
      <c r="C57" s="439" t="s">
        <v>62</v>
      </c>
      <c r="D57" s="635">
        <v>9000000</v>
      </c>
      <c r="E57" s="244">
        <f t="shared" si="1"/>
        <v>9000000</v>
      </c>
    </row>
    <row r="58" spans="1:5" ht="18.75" customHeight="1" x14ac:dyDescent="0.25">
      <c r="A58" s="455" t="s">
        <v>360</v>
      </c>
      <c r="B58" s="453" t="s">
        <v>232</v>
      </c>
      <c r="C58" s="439" t="s">
        <v>63</v>
      </c>
      <c r="D58" s="635">
        <f>350000000-100000000+11000000</f>
        <v>261000000</v>
      </c>
      <c r="E58" s="244">
        <f t="shared" si="1"/>
        <v>261000000</v>
      </c>
    </row>
    <row r="59" spans="1:5" ht="18.75" customHeight="1" x14ac:dyDescent="0.25">
      <c r="A59" s="453" t="s">
        <v>362</v>
      </c>
      <c r="B59" s="453" t="s">
        <v>364</v>
      </c>
      <c r="C59" s="439" t="s">
        <v>64</v>
      </c>
      <c r="D59" s="635">
        <f>1449766709.11+50000000+2005000000</f>
        <v>3504766709.1099997</v>
      </c>
      <c r="E59" s="244">
        <f t="shared" si="1"/>
        <v>3504766709.1099997</v>
      </c>
    </row>
    <row r="60" spans="1:5" ht="15" x14ac:dyDescent="0.25">
      <c r="A60" s="453" t="s">
        <v>363</v>
      </c>
      <c r="B60" s="453" t="s">
        <v>371</v>
      </c>
      <c r="C60" s="454" t="s">
        <v>65</v>
      </c>
      <c r="D60" s="635">
        <v>17000000</v>
      </c>
      <c r="E60" s="244">
        <f t="shared" ref="E60:E107" si="2">SUM(D60:D60)</f>
        <v>17000000</v>
      </c>
    </row>
    <row r="61" spans="1:5" ht="15" x14ac:dyDescent="0.25">
      <c r="A61" s="453" t="s">
        <v>365</v>
      </c>
      <c r="B61" s="453" t="s">
        <v>373</v>
      </c>
      <c r="C61" s="454" t="s">
        <v>66</v>
      </c>
      <c r="D61" s="635">
        <f>340000000-20000000+125000000</f>
        <v>445000000</v>
      </c>
      <c r="E61" s="244">
        <f t="shared" si="2"/>
        <v>445000000</v>
      </c>
    </row>
    <row r="62" spans="1:5" ht="30" x14ac:dyDescent="0.25">
      <c r="A62" s="453" t="s">
        <v>367</v>
      </c>
      <c r="B62" s="453" t="s">
        <v>376</v>
      </c>
      <c r="C62" s="454" t="s">
        <v>205</v>
      </c>
      <c r="D62" s="635">
        <f>316400000+610500000</f>
        <v>926900000</v>
      </c>
      <c r="E62" s="244">
        <f t="shared" si="2"/>
        <v>926900000</v>
      </c>
    </row>
    <row r="63" spans="1:5" ht="18.75" customHeight="1" x14ac:dyDescent="0.25">
      <c r="A63" s="453" t="s">
        <v>370</v>
      </c>
      <c r="B63" s="453" t="s">
        <v>378</v>
      </c>
      <c r="C63" s="454" t="s">
        <v>114</v>
      </c>
      <c r="D63" s="635">
        <v>2000000</v>
      </c>
      <c r="E63" s="244">
        <f t="shared" si="2"/>
        <v>2000000</v>
      </c>
    </row>
    <row r="64" spans="1:5" ht="15" x14ac:dyDescent="0.25">
      <c r="A64" s="453" t="s">
        <v>372</v>
      </c>
      <c r="B64" s="453" t="s">
        <v>380</v>
      </c>
      <c r="C64" s="454" t="s">
        <v>67</v>
      </c>
      <c r="D64" s="635">
        <v>488000000</v>
      </c>
      <c r="E64" s="244">
        <f t="shared" si="2"/>
        <v>488000000</v>
      </c>
    </row>
    <row r="65" spans="1:5" ht="15.75" customHeight="1" x14ac:dyDescent="0.25">
      <c r="A65" s="453" t="s">
        <v>374</v>
      </c>
      <c r="B65" s="453" t="s">
        <v>1157</v>
      </c>
      <c r="C65" s="454" t="s">
        <v>809</v>
      </c>
      <c r="D65" s="635">
        <f>1150000000-700000000</f>
        <v>450000000</v>
      </c>
      <c r="E65" s="244">
        <f t="shared" si="2"/>
        <v>450000000</v>
      </c>
    </row>
    <row r="66" spans="1:5" ht="18" customHeight="1" x14ac:dyDescent="0.25">
      <c r="A66" s="453" t="s">
        <v>375</v>
      </c>
      <c r="B66" s="453" t="s">
        <v>382</v>
      </c>
      <c r="C66" s="454" t="s">
        <v>68</v>
      </c>
      <c r="D66" s="635">
        <f>85000000+43000000</f>
        <v>128000000</v>
      </c>
      <c r="E66" s="244">
        <f t="shared" si="2"/>
        <v>128000000</v>
      </c>
    </row>
    <row r="67" spans="1:5" ht="30" x14ac:dyDescent="0.25">
      <c r="A67" s="453" t="s">
        <v>377</v>
      </c>
      <c r="B67" s="453" t="s">
        <v>384</v>
      </c>
      <c r="C67" s="454" t="s">
        <v>206</v>
      </c>
      <c r="D67" s="638">
        <v>0</v>
      </c>
      <c r="E67" s="458">
        <f t="shared" si="2"/>
        <v>0</v>
      </c>
    </row>
    <row r="68" spans="1:5" ht="18" customHeight="1" x14ac:dyDescent="0.25">
      <c r="A68" s="453" t="s">
        <v>379</v>
      </c>
      <c r="B68" s="453" t="s">
        <v>386</v>
      </c>
      <c r="C68" s="454" t="s">
        <v>207</v>
      </c>
      <c r="D68" s="635">
        <f>290000000-100000000</f>
        <v>190000000</v>
      </c>
      <c r="E68" s="244">
        <f t="shared" si="2"/>
        <v>190000000</v>
      </c>
    </row>
    <row r="69" spans="1:5" ht="30" x14ac:dyDescent="0.25">
      <c r="A69" s="453" t="s">
        <v>381</v>
      </c>
      <c r="B69" s="453" t="s">
        <v>388</v>
      </c>
      <c r="C69" s="454" t="s">
        <v>208</v>
      </c>
      <c r="D69" s="638">
        <v>0</v>
      </c>
      <c r="E69" s="458">
        <f t="shared" si="2"/>
        <v>0</v>
      </c>
    </row>
    <row r="70" spans="1:5" ht="15.95" customHeight="1" x14ac:dyDescent="0.25">
      <c r="A70" s="453" t="s">
        <v>383</v>
      </c>
      <c r="B70" s="453" t="s">
        <v>390</v>
      </c>
      <c r="C70" s="454" t="s">
        <v>69</v>
      </c>
      <c r="D70" s="635">
        <v>160000000</v>
      </c>
      <c r="E70" s="244">
        <f t="shared" si="2"/>
        <v>160000000</v>
      </c>
    </row>
    <row r="71" spans="1:5" ht="15.95" customHeight="1" x14ac:dyDescent="0.25">
      <c r="A71" s="577"/>
      <c r="B71" s="577"/>
      <c r="C71" s="579" t="s">
        <v>1381</v>
      </c>
      <c r="D71" s="636"/>
      <c r="E71" s="578"/>
    </row>
    <row r="72" spans="1:5" ht="15.95" customHeight="1" x14ac:dyDescent="0.25">
      <c r="A72" s="455" t="s">
        <v>385</v>
      </c>
      <c r="B72" s="455" t="s">
        <v>392</v>
      </c>
      <c r="C72" s="459" t="s">
        <v>209</v>
      </c>
      <c r="D72" s="637">
        <f>82400000+25600000</f>
        <v>108000000</v>
      </c>
      <c r="E72" s="457">
        <f t="shared" si="2"/>
        <v>108000000</v>
      </c>
    </row>
    <row r="73" spans="1:5" ht="15.95" customHeight="1" x14ac:dyDescent="0.25">
      <c r="A73" s="453" t="s">
        <v>387</v>
      </c>
      <c r="B73" s="453" t="s">
        <v>394</v>
      </c>
      <c r="C73" s="454" t="s">
        <v>150</v>
      </c>
      <c r="D73" s="635">
        <v>80000000</v>
      </c>
      <c r="E73" s="244">
        <f t="shared" si="2"/>
        <v>80000000</v>
      </c>
    </row>
    <row r="74" spans="1:5" ht="15.95" customHeight="1" x14ac:dyDescent="0.25">
      <c r="A74" s="453" t="s">
        <v>389</v>
      </c>
      <c r="B74" s="453" t="s">
        <v>986</v>
      </c>
      <c r="C74" s="454" t="s">
        <v>987</v>
      </c>
      <c r="D74" s="638">
        <v>0</v>
      </c>
      <c r="E74" s="458">
        <f t="shared" si="2"/>
        <v>0</v>
      </c>
    </row>
    <row r="75" spans="1:5" ht="18.75" customHeight="1" x14ac:dyDescent="0.25">
      <c r="A75" s="453" t="s">
        <v>391</v>
      </c>
      <c r="B75" s="455" t="s">
        <v>236</v>
      </c>
      <c r="C75" s="459" t="s">
        <v>210</v>
      </c>
      <c r="D75" s="637">
        <f>22081000000-2670000000+2596000000</f>
        <v>22007000000</v>
      </c>
      <c r="E75" s="457">
        <f t="shared" si="2"/>
        <v>22007000000</v>
      </c>
    </row>
    <row r="76" spans="1:5" ht="15" x14ac:dyDescent="0.25">
      <c r="A76" s="453" t="s">
        <v>393</v>
      </c>
      <c r="B76" s="453" t="s">
        <v>988</v>
      </c>
      <c r="C76" s="454" t="s">
        <v>989</v>
      </c>
      <c r="D76" s="635">
        <v>100000000</v>
      </c>
      <c r="E76" s="244">
        <f t="shared" si="2"/>
        <v>100000000</v>
      </c>
    </row>
    <row r="77" spans="1:5" ht="30" x14ac:dyDescent="0.25">
      <c r="A77" s="453" t="s">
        <v>395</v>
      </c>
      <c r="B77" s="453" t="s">
        <v>520</v>
      </c>
      <c r="C77" s="454" t="s">
        <v>70</v>
      </c>
      <c r="D77" s="638">
        <v>0</v>
      </c>
      <c r="E77" s="458">
        <f t="shared" si="2"/>
        <v>0</v>
      </c>
    </row>
    <row r="78" spans="1:5" ht="30" x14ac:dyDescent="0.25">
      <c r="A78" s="453" t="s">
        <v>396</v>
      </c>
      <c r="B78" s="453" t="s">
        <v>397</v>
      </c>
      <c r="C78" s="454" t="s">
        <v>242</v>
      </c>
      <c r="D78" s="635">
        <f>2000000000-300000000</f>
        <v>1700000000</v>
      </c>
      <c r="E78" s="244">
        <f t="shared" si="2"/>
        <v>1700000000</v>
      </c>
    </row>
    <row r="79" spans="1:5" ht="17.25" customHeight="1" x14ac:dyDescent="0.25">
      <c r="A79" s="453" t="s">
        <v>398</v>
      </c>
      <c r="B79" s="453" t="s">
        <v>399</v>
      </c>
      <c r="C79" s="454" t="s">
        <v>71</v>
      </c>
      <c r="D79" s="635">
        <f>40000000+4000000</f>
        <v>44000000</v>
      </c>
      <c r="E79" s="244">
        <f t="shared" si="2"/>
        <v>44000000</v>
      </c>
    </row>
    <row r="80" spans="1:5" ht="14.25" customHeight="1" x14ac:dyDescent="0.25">
      <c r="A80" s="453" t="s">
        <v>400</v>
      </c>
      <c r="B80" s="453" t="s">
        <v>401</v>
      </c>
      <c r="C80" s="454" t="s">
        <v>72</v>
      </c>
      <c r="D80" s="635">
        <f>500000000+50000000+4000000</f>
        <v>554000000</v>
      </c>
      <c r="E80" s="244">
        <f t="shared" si="2"/>
        <v>554000000</v>
      </c>
    </row>
    <row r="81" spans="1:5" ht="14.25" customHeight="1" x14ac:dyDescent="0.25">
      <c r="A81" s="453" t="s">
        <v>402</v>
      </c>
      <c r="B81" s="453" t="s">
        <v>408</v>
      </c>
      <c r="C81" s="454" t="s">
        <v>211</v>
      </c>
      <c r="D81" s="635">
        <v>80000000</v>
      </c>
      <c r="E81" s="244">
        <f t="shared" si="2"/>
        <v>80000000</v>
      </c>
    </row>
    <row r="82" spans="1:5" ht="18.75" customHeight="1" x14ac:dyDescent="0.25">
      <c r="A82" s="453" t="s">
        <v>404</v>
      </c>
      <c r="B82" s="453" t="s">
        <v>413</v>
      </c>
      <c r="C82" s="454" t="s">
        <v>73</v>
      </c>
      <c r="D82" s="635">
        <v>50000000</v>
      </c>
      <c r="E82" s="244">
        <f t="shared" si="2"/>
        <v>50000000</v>
      </c>
    </row>
    <row r="83" spans="1:5" ht="30" x14ac:dyDescent="0.25">
      <c r="A83" s="453" t="s">
        <v>407</v>
      </c>
      <c r="B83" s="453" t="s">
        <v>245</v>
      </c>
      <c r="C83" s="454" t="s">
        <v>227</v>
      </c>
      <c r="D83" s="635">
        <v>38000000</v>
      </c>
      <c r="E83" s="244">
        <f t="shared" si="2"/>
        <v>38000000</v>
      </c>
    </row>
    <row r="84" spans="1:5" ht="15" x14ac:dyDescent="0.25">
      <c r="A84" s="453" t="s">
        <v>409</v>
      </c>
      <c r="B84" s="453" t="s">
        <v>415</v>
      </c>
      <c r="C84" s="454" t="s">
        <v>74</v>
      </c>
      <c r="D84" s="635">
        <f>3187006988.96+202500000</f>
        <v>3389506988.96</v>
      </c>
      <c r="E84" s="244">
        <f t="shared" si="2"/>
        <v>3389506988.96</v>
      </c>
    </row>
    <row r="85" spans="1:5" ht="27.75" x14ac:dyDescent="0.25">
      <c r="A85" s="453" t="s">
        <v>412</v>
      </c>
      <c r="B85" s="453" t="s">
        <v>417</v>
      </c>
      <c r="C85" s="439" t="s">
        <v>212</v>
      </c>
      <c r="D85" s="635">
        <f>959599496-80000000+15000000</f>
        <v>894599496</v>
      </c>
      <c r="E85" s="244">
        <f t="shared" si="2"/>
        <v>894599496</v>
      </c>
    </row>
    <row r="86" spans="1:5" ht="27.75" x14ac:dyDescent="0.25">
      <c r="A86" s="453" t="s">
        <v>414</v>
      </c>
      <c r="B86" s="453" t="s">
        <v>419</v>
      </c>
      <c r="C86" s="439" t="s">
        <v>75</v>
      </c>
      <c r="D86" s="635">
        <v>45000000</v>
      </c>
      <c r="E86" s="244">
        <f t="shared" si="2"/>
        <v>45000000</v>
      </c>
    </row>
    <row r="87" spans="1:5" ht="18.75" customHeight="1" x14ac:dyDescent="0.25">
      <c r="A87" s="453" t="s">
        <v>418</v>
      </c>
      <c r="B87" s="453" t="s">
        <v>268</v>
      </c>
      <c r="C87" s="454" t="s">
        <v>76</v>
      </c>
      <c r="D87" s="635">
        <v>60000000</v>
      </c>
      <c r="E87" s="244">
        <f t="shared" si="2"/>
        <v>60000000</v>
      </c>
    </row>
    <row r="88" spans="1:5" ht="18.75" customHeight="1" x14ac:dyDescent="0.25">
      <c r="A88" s="453" t="s">
        <v>420</v>
      </c>
      <c r="B88" s="453" t="s">
        <v>422</v>
      </c>
      <c r="C88" s="454" t="s">
        <v>77</v>
      </c>
      <c r="D88" s="635">
        <f>6980000000-3224145000+1800000000</f>
        <v>5555855000</v>
      </c>
      <c r="E88" s="244">
        <f t="shared" si="2"/>
        <v>5555855000</v>
      </c>
    </row>
    <row r="89" spans="1:5" ht="15" x14ac:dyDescent="0.25">
      <c r="A89" s="453" t="s">
        <v>421</v>
      </c>
      <c r="B89" s="453" t="s">
        <v>424</v>
      </c>
      <c r="C89" s="454" t="s">
        <v>187</v>
      </c>
      <c r="D89" s="635">
        <f>110000000+3000000</f>
        <v>113000000</v>
      </c>
      <c r="E89" s="244">
        <f t="shared" si="2"/>
        <v>113000000</v>
      </c>
    </row>
    <row r="90" spans="1:5" ht="30" x14ac:dyDescent="0.25">
      <c r="A90" s="453" t="s">
        <v>423</v>
      </c>
      <c r="B90" s="453" t="s">
        <v>426</v>
      </c>
      <c r="C90" s="454" t="s">
        <v>151</v>
      </c>
      <c r="D90" s="635">
        <v>80000000</v>
      </c>
      <c r="E90" s="244">
        <f t="shared" si="2"/>
        <v>80000000</v>
      </c>
    </row>
    <row r="91" spans="1:5" ht="30" x14ac:dyDescent="0.25">
      <c r="A91" s="453" t="s">
        <v>425</v>
      </c>
      <c r="B91" s="453" t="s">
        <v>1162</v>
      </c>
      <c r="C91" s="454" t="s">
        <v>1163</v>
      </c>
      <c r="D91" s="638">
        <v>0</v>
      </c>
      <c r="E91" s="458">
        <f t="shared" si="2"/>
        <v>0</v>
      </c>
    </row>
    <row r="92" spans="1:5" ht="15.95" customHeight="1" x14ac:dyDescent="0.25">
      <c r="A92" s="453" t="s">
        <v>427</v>
      </c>
      <c r="B92" s="453" t="s">
        <v>1164</v>
      </c>
      <c r="C92" s="454" t="s">
        <v>1165</v>
      </c>
      <c r="D92" s="635">
        <v>100000000</v>
      </c>
      <c r="E92" s="244">
        <f t="shared" si="2"/>
        <v>100000000</v>
      </c>
    </row>
    <row r="93" spans="1:5" ht="15.95" customHeight="1" x14ac:dyDescent="0.25">
      <c r="A93" s="453" t="s">
        <v>428</v>
      </c>
      <c r="B93" s="453" t="s">
        <v>267</v>
      </c>
      <c r="C93" s="454" t="s">
        <v>23</v>
      </c>
      <c r="D93" s="635">
        <f>534000000-100000000</f>
        <v>434000000</v>
      </c>
      <c r="E93" s="244">
        <f t="shared" si="2"/>
        <v>434000000</v>
      </c>
    </row>
    <row r="94" spans="1:5" ht="15.95" customHeight="1" x14ac:dyDescent="0.25">
      <c r="A94" s="453" t="s">
        <v>430</v>
      </c>
      <c r="B94" s="453" t="s">
        <v>429</v>
      </c>
      <c r="C94" s="454" t="s">
        <v>78</v>
      </c>
      <c r="D94" s="635">
        <v>10000000</v>
      </c>
      <c r="E94" s="244">
        <f t="shared" si="2"/>
        <v>10000000</v>
      </c>
    </row>
    <row r="95" spans="1:5" ht="15.95" customHeight="1" x14ac:dyDescent="0.25">
      <c r="A95" s="577"/>
      <c r="B95" s="577"/>
      <c r="C95" s="579" t="s">
        <v>1382</v>
      </c>
      <c r="D95" s="636"/>
      <c r="E95" s="578"/>
    </row>
    <row r="96" spans="1:5" ht="15.95" customHeight="1" x14ac:dyDescent="0.25">
      <c r="A96" s="455" t="s">
        <v>432</v>
      </c>
      <c r="B96" s="455" t="s">
        <v>431</v>
      </c>
      <c r="C96" s="459" t="s">
        <v>116</v>
      </c>
      <c r="D96" s="603">
        <v>0</v>
      </c>
      <c r="E96" s="460">
        <f t="shared" si="2"/>
        <v>0</v>
      </c>
    </row>
    <row r="97" spans="1:5" ht="15.95" customHeight="1" x14ac:dyDescent="0.25">
      <c r="A97" s="453" t="s">
        <v>434</v>
      </c>
      <c r="B97" s="455" t="s">
        <v>433</v>
      </c>
      <c r="C97" s="459" t="s">
        <v>117</v>
      </c>
      <c r="D97" s="603">
        <v>0</v>
      </c>
      <c r="E97" s="460">
        <f t="shared" si="2"/>
        <v>0</v>
      </c>
    </row>
    <row r="98" spans="1:5" ht="15.95" customHeight="1" x14ac:dyDescent="0.25">
      <c r="A98" s="453" t="s">
        <v>435</v>
      </c>
      <c r="B98" s="453" t="s">
        <v>233</v>
      </c>
      <c r="C98" s="454" t="s">
        <v>79</v>
      </c>
      <c r="D98" s="635">
        <v>502000000</v>
      </c>
      <c r="E98" s="244">
        <f t="shared" si="2"/>
        <v>502000000</v>
      </c>
    </row>
    <row r="99" spans="1:5" ht="15.95" customHeight="1" x14ac:dyDescent="0.25">
      <c r="A99" s="453" t="s">
        <v>437</v>
      </c>
      <c r="B99" s="453" t="s">
        <v>436</v>
      </c>
      <c r="C99" s="454" t="s">
        <v>80</v>
      </c>
      <c r="D99" s="635">
        <v>243000000</v>
      </c>
      <c r="E99" s="244">
        <f t="shared" si="2"/>
        <v>243000000</v>
      </c>
    </row>
    <row r="100" spans="1:5" ht="15.95" customHeight="1" x14ac:dyDescent="0.25">
      <c r="A100" s="453" t="s">
        <v>440</v>
      </c>
      <c r="B100" s="453" t="s">
        <v>269</v>
      </c>
      <c r="C100" s="454" t="s">
        <v>81</v>
      </c>
      <c r="D100" s="635">
        <v>130000000</v>
      </c>
      <c r="E100" s="244">
        <f t="shared" si="2"/>
        <v>130000000</v>
      </c>
    </row>
    <row r="101" spans="1:5" ht="15.95" customHeight="1" x14ac:dyDescent="0.25">
      <c r="A101" s="453" t="s">
        <v>448</v>
      </c>
      <c r="B101" s="453" t="s">
        <v>445</v>
      </c>
      <c r="C101" s="454" t="s">
        <v>196</v>
      </c>
      <c r="D101" s="635">
        <v>25000000</v>
      </c>
      <c r="E101" s="244">
        <f t="shared" si="2"/>
        <v>25000000</v>
      </c>
    </row>
    <row r="102" spans="1:5" ht="15.95" customHeight="1" x14ac:dyDescent="0.25">
      <c r="A102" s="453" t="s">
        <v>450</v>
      </c>
      <c r="B102" s="453" t="s">
        <v>447</v>
      </c>
      <c r="C102" s="454" t="s">
        <v>82</v>
      </c>
      <c r="D102" s="635">
        <v>10000000</v>
      </c>
      <c r="E102" s="244">
        <f t="shared" si="2"/>
        <v>10000000</v>
      </c>
    </row>
    <row r="103" spans="1:5" ht="30" x14ac:dyDescent="0.25">
      <c r="A103" s="453" t="s">
        <v>452</v>
      </c>
      <c r="B103" s="453" t="s">
        <v>449</v>
      </c>
      <c r="C103" s="454" t="s">
        <v>83</v>
      </c>
      <c r="D103" s="635">
        <v>42000000</v>
      </c>
      <c r="E103" s="244">
        <f t="shared" si="2"/>
        <v>42000000</v>
      </c>
    </row>
    <row r="104" spans="1:5" ht="30" x14ac:dyDescent="0.25">
      <c r="A104" s="453" t="s">
        <v>453</v>
      </c>
      <c r="B104" s="453" t="s">
        <v>451</v>
      </c>
      <c r="C104" s="454" t="s">
        <v>84</v>
      </c>
      <c r="D104" s="635">
        <v>22000000</v>
      </c>
      <c r="E104" s="244">
        <f t="shared" si="2"/>
        <v>22000000</v>
      </c>
    </row>
    <row r="105" spans="1:5" ht="30" x14ac:dyDescent="0.25">
      <c r="A105" s="453" t="s">
        <v>455</v>
      </c>
      <c r="B105" s="453" t="s">
        <v>263</v>
      </c>
      <c r="C105" s="454" t="s">
        <v>213</v>
      </c>
      <c r="D105" s="635">
        <f>2050000000-300000000+320689000</f>
        <v>2070689000</v>
      </c>
      <c r="E105" s="244">
        <f t="shared" si="2"/>
        <v>2070689000</v>
      </c>
    </row>
    <row r="106" spans="1:5" ht="30" x14ac:dyDescent="0.25">
      <c r="A106" s="453" t="s">
        <v>457</v>
      </c>
      <c r="B106" s="453" t="s">
        <v>458</v>
      </c>
      <c r="C106" s="454" t="s">
        <v>85</v>
      </c>
      <c r="D106" s="635">
        <f>3031329348.52+30300000</f>
        <v>3061629348.52</v>
      </c>
      <c r="E106" s="244">
        <f t="shared" si="2"/>
        <v>3061629348.52</v>
      </c>
    </row>
    <row r="107" spans="1:5" ht="15" x14ac:dyDescent="0.25">
      <c r="A107" s="453" t="s">
        <v>459</v>
      </c>
      <c r="B107" s="453" t="s">
        <v>464</v>
      </c>
      <c r="C107" s="454" t="s">
        <v>86</v>
      </c>
      <c r="D107" s="635">
        <v>32000000</v>
      </c>
      <c r="E107" s="244">
        <f t="shared" si="2"/>
        <v>32000000</v>
      </c>
    </row>
    <row r="108" spans="1:5" ht="15" x14ac:dyDescent="0.25">
      <c r="A108" s="453" t="s">
        <v>463</v>
      </c>
      <c r="B108" s="453" t="s">
        <v>521</v>
      </c>
      <c r="C108" s="454" t="s">
        <v>87</v>
      </c>
      <c r="D108" s="635">
        <v>250000000</v>
      </c>
      <c r="E108" s="244">
        <f>SUM(D108:D108)</f>
        <v>250000000</v>
      </c>
    </row>
    <row r="109" spans="1:5" ht="18.75" customHeight="1" x14ac:dyDescent="0.25">
      <c r="A109" s="453" t="s">
        <v>465</v>
      </c>
      <c r="B109" s="453" t="s">
        <v>522</v>
      </c>
      <c r="C109" s="454" t="s">
        <v>88</v>
      </c>
      <c r="D109" s="635">
        <v>450000000</v>
      </c>
      <c r="E109" s="244">
        <f>SUM(D109:D109)</f>
        <v>450000000</v>
      </c>
    </row>
    <row r="110" spans="1:5" ht="30" x14ac:dyDescent="0.25">
      <c r="A110" s="453" t="s">
        <v>467</v>
      </c>
      <c r="B110" s="453" t="s">
        <v>523</v>
      </c>
      <c r="C110" s="454" t="s">
        <v>990</v>
      </c>
      <c r="D110" s="635">
        <v>400000000</v>
      </c>
      <c r="E110" s="244">
        <f t="shared" ref="E110:E142" si="3">SUM(D110:D110)</f>
        <v>400000000</v>
      </c>
    </row>
    <row r="111" spans="1:5" ht="15.95" customHeight="1" x14ac:dyDescent="0.25">
      <c r="A111" s="453" t="s">
        <v>469</v>
      </c>
      <c r="B111" s="453" t="s">
        <v>524</v>
      </c>
      <c r="C111" s="454" t="s">
        <v>89</v>
      </c>
      <c r="D111" s="635">
        <v>300000000</v>
      </c>
      <c r="E111" s="244">
        <f t="shared" si="3"/>
        <v>300000000</v>
      </c>
    </row>
    <row r="112" spans="1:5" ht="15.95" customHeight="1" x14ac:dyDescent="0.25">
      <c r="A112" s="453" t="s">
        <v>471</v>
      </c>
      <c r="B112" s="453" t="s">
        <v>466</v>
      </c>
      <c r="C112" s="454" t="s">
        <v>90</v>
      </c>
      <c r="D112" s="635">
        <v>10000000</v>
      </c>
      <c r="E112" s="244">
        <f t="shared" si="3"/>
        <v>10000000</v>
      </c>
    </row>
    <row r="113" spans="1:6" ht="15.95" customHeight="1" x14ac:dyDescent="0.25">
      <c r="A113" s="453" t="s">
        <v>473</v>
      </c>
      <c r="B113" s="453" t="s">
        <v>468</v>
      </c>
      <c r="C113" s="454" t="s">
        <v>125</v>
      </c>
      <c r="D113" s="635">
        <v>1000000</v>
      </c>
      <c r="E113" s="244">
        <f t="shared" si="3"/>
        <v>1000000</v>
      </c>
    </row>
    <row r="114" spans="1:6" ht="15.95" customHeight="1" x14ac:dyDescent="0.25">
      <c r="A114" s="453" t="s">
        <v>475</v>
      </c>
      <c r="B114" s="453" t="s">
        <v>470</v>
      </c>
      <c r="C114" s="454" t="s">
        <v>126</v>
      </c>
      <c r="D114" s="635">
        <v>1000000</v>
      </c>
      <c r="E114" s="244">
        <f t="shared" si="3"/>
        <v>1000000</v>
      </c>
    </row>
    <row r="115" spans="1:6" ht="15.95" customHeight="1" x14ac:dyDescent="0.25">
      <c r="A115" s="453" t="s">
        <v>477</v>
      </c>
      <c r="B115" s="453" t="s">
        <v>472</v>
      </c>
      <c r="C115" s="454" t="s">
        <v>127</v>
      </c>
      <c r="D115" s="635">
        <v>1000000</v>
      </c>
      <c r="E115" s="244">
        <f t="shared" si="3"/>
        <v>1000000</v>
      </c>
      <c r="F115" s="10"/>
    </row>
    <row r="116" spans="1:6" ht="15.95" customHeight="1" x14ac:dyDescent="0.25">
      <c r="A116" s="453" t="s">
        <v>479</v>
      </c>
      <c r="B116" s="453" t="s">
        <v>474</v>
      </c>
      <c r="C116" s="454" t="s">
        <v>128</v>
      </c>
      <c r="D116" s="635">
        <v>1000000</v>
      </c>
      <c r="E116" s="244">
        <f t="shared" si="3"/>
        <v>1000000</v>
      </c>
    </row>
    <row r="117" spans="1:6" ht="15.95" customHeight="1" x14ac:dyDescent="0.25">
      <c r="A117" s="453" t="s">
        <v>481</v>
      </c>
      <c r="B117" s="453" t="s">
        <v>476</v>
      </c>
      <c r="C117" s="454" t="s">
        <v>129</v>
      </c>
      <c r="D117" s="635">
        <v>1500000</v>
      </c>
      <c r="E117" s="244">
        <f t="shared" si="3"/>
        <v>1500000</v>
      </c>
    </row>
    <row r="118" spans="1:6" ht="15.95" customHeight="1" x14ac:dyDescent="0.25">
      <c r="A118" s="453" t="s">
        <v>483</v>
      </c>
      <c r="B118" s="453" t="s">
        <v>478</v>
      </c>
      <c r="C118" s="454" t="s">
        <v>130</v>
      </c>
      <c r="D118" s="635">
        <v>1000000</v>
      </c>
      <c r="E118" s="244">
        <f t="shared" si="3"/>
        <v>1000000</v>
      </c>
    </row>
    <row r="119" spans="1:6" ht="15.95" customHeight="1" x14ac:dyDescent="0.25">
      <c r="A119" s="453" t="s">
        <v>485</v>
      </c>
      <c r="B119" s="453" t="s">
        <v>480</v>
      </c>
      <c r="C119" s="454" t="s">
        <v>131</v>
      </c>
      <c r="D119" s="635">
        <v>1000000</v>
      </c>
      <c r="E119" s="244">
        <f t="shared" si="3"/>
        <v>1000000</v>
      </c>
    </row>
    <row r="120" spans="1:6" ht="15.95" customHeight="1" x14ac:dyDescent="0.25">
      <c r="A120" s="453" t="s">
        <v>487</v>
      </c>
      <c r="B120" s="453" t="s">
        <v>482</v>
      </c>
      <c r="C120" s="454" t="s">
        <v>132</v>
      </c>
      <c r="D120" s="635">
        <v>1000000</v>
      </c>
      <c r="E120" s="244">
        <f t="shared" si="3"/>
        <v>1000000</v>
      </c>
    </row>
    <row r="121" spans="1:6" ht="15.95" customHeight="1" x14ac:dyDescent="0.25">
      <c r="A121" s="577"/>
      <c r="B121" s="577"/>
      <c r="C121" s="579" t="s">
        <v>1383</v>
      </c>
      <c r="D121" s="636"/>
      <c r="E121" s="578"/>
    </row>
    <row r="122" spans="1:6" ht="15.95" customHeight="1" x14ac:dyDescent="0.25">
      <c r="A122" s="455" t="s">
        <v>488</v>
      </c>
      <c r="B122" s="455" t="s">
        <v>484</v>
      </c>
      <c r="C122" s="459" t="s">
        <v>133</v>
      </c>
      <c r="D122" s="637">
        <v>1000000</v>
      </c>
      <c r="E122" s="457">
        <f t="shared" si="3"/>
        <v>1000000</v>
      </c>
    </row>
    <row r="123" spans="1:6" ht="30" x14ac:dyDescent="0.25">
      <c r="A123" s="453" t="s">
        <v>489</v>
      </c>
      <c r="B123" s="453" t="s">
        <v>1173</v>
      </c>
      <c r="C123" s="454" t="s">
        <v>214</v>
      </c>
      <c r="D123" s="635">
        <f>70000000+200000000-100000000</f>
        <v>170000000</v>
      </c>
      <c r="E123" s="244">
        <f t="shared" si="3"/>
        <v>170000000</v>
      </c>
    </row>
    <row r="124" spans="1:6" ht="18.75" customHeight="1" x14ac:dyDescent="0.25">
      <c r="A124" s="453" t="s">
        <v>490</v>
      </c>
      <c r="B124" s="453" t="s">
        <v>486</v>
      </c>
      <c r="C124" s="454" t="s">
        <v>91</v>
      </c>
      <c r="D124" s="635">
        <v>212000000</v>
      </c>
      <c r="E124" s="244">
        <f t="shared" si="3"/>
        <v>212000000</v>
      </c>
    </row>
    <row r="125" spans="1:6" ht="18.75" customHeight="1" x14ac:dyDescent="0.25">
      <c r="A125" s="453" t="s">
        <v>492</v>
      </c>
      <c r="B125" s="453" t="s">
        <v>152</v>
      </c>
      <c r="C125" s="454" t="s">
        <v>92</v>
      </c>
      <c r="D125" s="635">
        <f>2010000000-800000000</f>
        <v>1210000000</v>
      </c>
      <c r="E125" s="244">
        <f t="shared" si="3"/>
        <v>1210000000</v>
      </c>
    </row>
    <row r="126" spans="1:6" ht="18.75" customHeight="1" x14ac:dyDescent="0.25">
      <c r="A126" s="453" t="s">
        <v>494</v>
      </c>
      <c r="B126" s="453" t="s">
        <v>1134</v>
      </c>
      <c r="C126" s="454" t="s">
        <v>823</v>
      </c>
      <c r="D126" s="635">
        <f>1901000000-300000000</f>
        <v>1601000000</v>
      </c>
      <c r="E126" s="244">
        <f t="shared" si="3"/>
        <v>1601000000</v>
      </c>
    </row>
    <row r="127" spans="1:6" ht="18.75" customHeight="1" x14ac:dyDescent="0.25">
      <c r="A127" s="453" t="s">
        <v>496</v>
      </c>
      <c r="B127" s="453" t="s">
        <v>235</v>
      </c>
      <c r="C127" s="454" t="s">
        <v>215</v>
      </c>
      <c r="D127" s="635">
        <v>394375000</v>
      </c>
      <c r="E127" s="244">
        <f t="shared" si="3"/>
        <v>394375000</v>
      </c>
    </row>
    <row r="128" spans="1:6" ht="30" x14ac:dyDescent="0.25">
      <c r="A128" s="453" t="s">
        <v>498</v>
      </c>
      <c r="B128" s="453" t="s">
        <v>221</v>
      </c>
      <c r="C128" s="454" t="s">
        <v>261</v>
      </c>
      <c r="D128" s="635">
        <v>1100000000</v>
      </c>
      <c r="E128" s="244">
        <f t="shared" si="3"/>
        <v>1100000000</v>
      </c>
    </row>
    <row r="129" spans="1:6" ht="15.95" customHeight="1" x14ac:dyDescent="0.25">
      <c r="A129" s="453" t="s">
        <v>500</v>
      </c>
      <c r="B129" s="453" t="s">
        <v>491</v>
      </c>
      <c r="C129" s="454" t="s">
        <v>1067</v>
      </c>
      <c r="D129" s="635">
        <v>250000000</v>
      </c>
      <c r="E129" s="244">
        <f t="shared" si="3"/>
        <v>250000000</v>
      </c>
    </row>
    <row r="130" spans="1:6" ht="15.95" customHeight="1" x14ac:dyDescent="0.25">
      <c r="A130" s="453" t="s">
        <v>501</v>
      </c>
      <c r="B130" s="453" t="s">
        <v>493</v>
      </c>
      <c r="C130" s="454" t="s">
        <v>134</v>
      </c>
      <c r="D130" s="635">
        <v>2500000</v>
      </c>
      <c r="E130" s="244">
        <f t="shared" si="3"/>
        <v>2500000</v>
      </c>
    </row>
    <row r="131" spans="1:6" ht="15.95" customHeight="1" x14ac:dyDescent="0.25">
      <c r="A131" s="453" t="s">
        <v>504</v>
      </c>
      <c r="B131" s="453" t="s">
        <v>495</v>
      </c>
      <c r="C131" s="454" t="s">
        <v>93</v>
      </c>
      <c r="D131" s="635">
        <v>10000000</v>
      </c>
      <c r="E131" s="244">
        <f t="shared" si="3"/>
        <v>10000000</v>
      </c>
    </row>
    <row r="132" spans="1:6" ht="15" x14ac:dyDescent="0.25">
      <c r="A132" s="453" t="s">
        <v>505</v>
      </c>
      <c r="B132" s="453" t="s">
        <v>497</v>
      </c>
      <c r="C132" s="454" t="s">
        <v>547</v>
      </c>
      <c r="D132" s="635">
        <v>35000000</v>
      </c>
      <c r="E132" s="244">
        <f t="shared" si="3"/>
        <v>35000000</v>
      </c>
    </row>
    <row r="133" spans="1:6" ht="15.95" customHeight="1" x14ac:dyDescent="0.25">
      <c r="A133" s="453" t="s">
        <v>506</v>
      </c>
      <c r="B133" s="453" t="s">
        <v>499</v>
      </c>
      <c r="C133" s="454" t="s">
        <v>94</v>
      </c>
      <c r="D133" s="635">
        <v>15000000</v>
      </c>
      <c r="E133" s="244">
        <f t="shared" si="3"/>
        <v>15000000</v>
      </c>
    </row>
    <row r="134" spans="1:6" ht="15.95" customHeight="1" x14ac:dyDescent="0.25">
      <c r="A134" s="453" t="s">
        <v>507</v>
      </c>
      <c r="B134" s="453" t="s">
        <v>244</v>
      </c>
      <c r="C134" s="454" t="s">
        <v>189</v>
      </c>
      <c r="D134" s="635">
        <f>230000000+81000000</f>
        <v>311000000</v>
      </c>
      <c r="E134" s="244">
        <f t="shared" si="3"/>
        <v>311000000</v>
      </c>
    </row>
    <row r="135" spans="1:6" ht="15.95" customHeight="1" x14ac:dyDescent="0.25">
      <c r="A135" s="453" t="s">
        <v>508</v>
      </c>
      <c r="B135" s="453" t="s">
        <v>502</v>
      </c>
      <c r="C135" s="454" t="s">
        <v>503</v>
      </c>
      <c r="D135" s="635">
        <v>1550000000</v>
      </c>
      <c r="E135" s="244">
        <f t="shared" si="3"/>
        <v>1550000000</v>
      </c>
    </row>
    <row r="136" spans="1:6" ht="15.95" customHeight="1" x14ac:dyDescent="0.25">
      <c r="A136" s="453" t="s">
        <v>510</v>
      </c>
      <c r="B136" s="453" t="s">
        <v>225</v>
      </c>
      <c r="C136" s="454" t="s">
        <v>95</v>
      </c>
      <c r="D136" s="635">
        <v>515000000</v>
      </c>
      <c r="E136" s="244">
        <f t="shared" si="3"/>
        <v>515000000</v>
      </c>
      <c r="F136" s="184"/>
    </row>
    <row r="137" spans="1:6" ht="15.95" customHeight="1" x14ac:dyDescent="0.25">
      <c r="A137" s="453" t="s">
        <v>512</v>
      </c>
      <c r="B137" s="453" t="s">
        <v>226</v>
      </c>
      <c r="C137" s="454" t="s">
        <v>96</v>
      </c>
      <c r="D137" s="635">
        <f>430000000-300000000</f>
        <v>130000000</v>
      </c>
      <c r="E137" s="244">
        <f t="shared" si="3"/>
        <v>130000000</v>
      </c>
    </row>
    <row r="138" spans="1:6" ht="15.95" customHeight="1" x14ac:dyDescent="0.25">
      <c r="A138" s="453" t="s">
        <v>513</v>
      </c>
      <c r="B138" s="453" t="s">
        <v>991</v>
      </c>
      <c r="C138" s="454" t="s">
        <v>992</v>
      </c>
      <c r="D138" s="638">
        <v>0</v>
      </c>
      <c r="E138" s="458">
        <f t="shared" si="3"/>
        <v>0</v>
      </c>
    </row>
    <row r="139" spans="1:6" ht="30" x14ac:dyDescent="0.25">
      <c r="A139" s="453" t="s">
        <v>514</v>
      </c>
      <c r="B139" s="437" t="s">
        <v>1188</v>
      </c>
      <c r="C139" s="454" t="s">
        <v>135</v>
      </c>
      <c r="D139" s="635">
        <v>6000000</v>
      </c>
      <c r="E139" s="244">
        <f t="shared" si="3"/>
        <v>6000000</v>
      </c>
    </row>
    <row r="140" spans="1:6" ht="18" customHeight="1" x14ac:dyDescent="0.25">
      <c r="A140" s="453" t="s">
        <v>515</v>
      </c>
      <c r="B140" s="437" t="s">
        <v>1189</v>
      </c>
      <c r="C140" s="454" t="s">
        <v>97</v>
      </c>
      <c r="D140" s="635">
        <v>5000000</v>
      </c>
      <c r="E140" s="244">
        <f t="shared" si="3"/>
        <v>5000000</v>
      </c>
    </row>
    <row r="141" spans="1:6" ht="30" x14ac:dyDescent="0.25">
      <c r="A141" s="453" t="s">
        <v>1168</v>
      </c>
      <c r="B141" s="453" t="s">
        <v>509</v>
      </c>
      <c r="C141" s="454" t="s">
        <v>216</v>
      </c>
      <c r="D141" s="635">
        <f>1017500000-400000000+22000000</f>
        <v>639500000</v>
      </c>
      <c r="E141" s="244">
        <f t="shared" si="3"/>
        <v>639500000</v>
      </c>
    </row>
    <row r="142" spans="1:6" ht="30" x14ac:dyDescent="0.25">
      <c r="A142" s="453" t="s">
        <v>1169</v>
      </c>
      <c r="B142" s="453" t="s">
        <v>511</v>
      </c>
      <c r="C142" s="454" t="s">
        <v>98</v>
      </c>
      <c r="D142" s="244">
        <v>365400000</v>
      </c>
      <c r="E142" s="244">
        <f t="shared" si="3"/>
        <v>365400000</v>
      </c>
    </row>
    <row r="143" spans="1:6" ht="18.75" customHeight="1" x14ac:dyDescent="0.25">
      <c r="A143" s="453"/>
      <c r="B143" s="453"/>
      <c r="C143" s="464" t="s">
        <v>38</v>
      </c>
      <c r="D143" s="463">
        <f>SUM(D6:D142)</f>
        <v>69915484355.589996</v>
      </c>
      <c r="E143" s="463">
        <f>SUM(E6:E142)</f>
        <v>69915484355.589996</v>
      </c>
    </row>
    <row r="144" spans="1:6" ht="18.75" customHeight="1" x14ac:dyDescent="0.25">
      <c r="E144" s="10"/>
    </row>
    <row r="145" spans="3:3" ht="18.75" customHeight="1" x14ac:dyDescent="0.25">
      <c r="C145" s="576" t="s">
        <v>1384</v>
      </c>
    </row>
  </sheetData>
  <mergeCells count="4">
    <mergeCell ref="A1:E1"/>
    <mergeCell ref="A2:E2"/>
    <mergeCell ref="A3:E3"/>
    <mergeCell ref="A4:E4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workbookViewId="0">
      <selection activeCell="H5" sqref="H5"/>
    </sheetView>
  </sheetViews>
  <sheetFormatPr defaultRowHeight="15" x14ac:dyDescent="0.25"/>
  <cols>
    <col min="1" max="1" width="4" customWidth="1"/>
    <col min="2" max="2" width="11.5703125" customWidth="1"/>
    <col min="3" max="3" width="38.42578125" customWidth="1"/>
    <col min="4" max="4" width="22" customWidth="1"/>
    <col min="5" max="5" width="16.140625" customWidth="1"/>
    <col min="6" max="6" width="17.140625" customWidth="1"/>
    <col min="7" max="7" width="11.5703125" customWidth="1"/>
    <col min="10" max="10" width="10" bestFit="1" customWidth="1"/>
  </cols>
  <sheetData>
    <row r="1" spans="1:7" x14ac:dyDescent="0.25">
      <c r="A1" s="660" t="s">
        <v>7</v>
      </c>
      <c r="B1" s="660"/>
      <c r="C1" s="660"/>
      <c r="D1" s="660"/>
      <c r="E1" s="660"/>
      <c r="F1" s="660"/>
    </row>
    <row r="2" spans="1:7" x14ac:dyDescent="0.25">
      <c r="A2" s="660" t="s">
        <v>1475</v>
      </c>
      <c r="B2" s="661"/>
      <c r="C2" s="661"/>
      <c r="D2" s="661"/>
      <c r="E2" s="661"/>
      <c r="F2" s="661"/>
    </row>
    <row r="3" spans="1:7" x14ac:dyDescent="0.25">
      <c r="A3" s="660" t="s">
        <v>1251</v>
      </c>
      <c r="B3" s="660"/>
      <c r="C3" s="660"/>
      <c r="D3" s="660"/>
      <c r="E3" s="660"/>
      <c r="F3" s="660"/>
    </row>
    <row r="4" spans="1:7" x14ac:dyDescent="0.25">
      <c r="A4" s="57"/>
      <c r="B4" s="500"/>
      <c r="C4" s="500"/>
      <c r="D4" s="500"/>
      <c r="E4" s="500"/>
      <c r="F4" s="57"/>
    </row>
    <row r="5" spans="1:7" ht="26.25" x14ac:dyDescent="0.25">
      <c r="A5" s="522" t="s">
        <v>0</v>
      </c>
      <c r="B5" s="521" t="s">
        <v>1285</v>
      </c>
      <c r="C5" s="522" t="s">
        <v>28</v>
      </c>
      <c r="D5" s="521" t="s">
        <v>1253</v>
      </c>
      <c r="E5" s="521" t="s">
        <v>1254</v>
      </c>
      <c r="F5" s="527" t="s">
        <v>1476</v>
      </c>
      <c r="G5" s="521" t="s">
        <v>191</v>
      </c>
    </row>
    <row r="6" spans="1:7" x14ac:dyDescent="0.25">
      <c r="A6" s="664" t="s">
        <v>1328</v>
      </c>
      <c r="B6" s="665"/>
      <c r="C6" s="665"/>
      <c r="D6" s="665"/>
      <c r="E6" s="665"/>
      <c r="F6" s="665"/>
      <c r="G6" s="666"/>
    </row>
    <row r="7" spans="1:7" x14ac:dyDescent="0.25">
      <c r="A7" s="30">
        <v>1</v>
      </c>
      <c r="B7" s="382" t="s">
        <v>1287</v>
      </c>
      <c r="C7" s="518" t="s">
        <v>1307</v>
      </c>
      <c r="D7" s="519">
        <v>33413267659</v>
      </c>
      <c r="E7" s="43"/>
      <c r="F7" s="528">
        <f>D7-E7</f>
        <v>33413267659</v>
      </c>
      <c r="G7" s="530"/>
    </row>
    <row r="8" spans="1:7" x14ac:dyDescent="0.25">
      <c r="A8" s="30">
        <v>2</v>
      </c>
      <c r="B8" s="382" t="s">
        <v>1288</v>
      </c>
      <c r="C8" s="518" t="s">
        <v>1308</v>
      </c>
      <c r="D8" s="519">
        <v>11583777563.23</v>
      </c>
      <c r="E8" s="43"/>
      <c r="F8" s="528">
        <f t="shared" ref="F8:F26" si="0">D8-E8</f>
        <v>11583777563.23</v>
      </c>
      <c r="G8" s="530"/>
    </row>
    <row r="9" spans="1:7" x14ac:dyDescent="0.25">
      <c r="A9" s="30">
        <v>3</v>
      </c>
      <c r="B9" s="382" t="s">
        <v>1289</v>
      </c>
      <c r="C9" s="518" t="s">
        <v>1309</v>
      </c>
      <c r="D9" s="519">
        <v>12925776176</v>
      </c>
      <c r="E9" s="43"/>
      <c r="F9" s="528">
        <f t="shared" si="0"/>
        <v>12925776176</v>
      </c>
      <c r="G9" s="530"/>
    </row>
    <row r="10" spans="1:7" x14ac:dyDescent="0.25">
      <c r="A10" s="30">
        <v>4</v>
      </c>
      <c r="B10" s="382" t="s">
        <v>1290</v>
      </c>
      <c r="C10" s="518" t="s">
        <v>1310</v>
      </c>
      <c r="D10" s="519">
        <v>2100000000</v>
      </c>
      <c r="E10" s="43"/>
      <c r="F10" s="528">
        <f t="shared" si="0"/>
        <v>2100000000</v>
      </c>
      <c r="G10" s="530"/>
    </row>
    <row r="11" spans="1:7" x14ac:dyDescent="0.25">
      <c r="A11" s="30">
        <v>5</v>
      </c>
      <c r="B11" s="382" t="s">
        <v>1291</v>
      </c>
      <c r="C11" s="518" t="s">
        <v>1311</v>
      </c>
      <c r="D11" s="519">
        <v>500000</v>
      </c>
      <c r="E11" s="43"/>
      <c r="F11" s="528">
        <f t="shared" si="0"/>
        <v>500000</v>
      </c>
      <c r="G11" s="530"/>
    </row>
    <row r="12" spans="1:7" x14ac:dyDescent="0.25">
      <c r="A12" s="30">
        <v>6</v>
      </c>
      <c r="B12" s="382" t="s">
        <v>1292</v>
      </c>
      <c r="C12" s="518" t="s">
        <v>1312</v>
      </c>
      <c r="D12" s="519">
        <v>3000000</v>
      </c>
      <c r="E12" s="43"/>
      <c r="F12" s="528">
        <f t="shared" si="0"/>
        <v>3000000</v>
      </c>
      <c r="G12" s="530"/>
    </row>
    <row r="13" spans="1:7" x14ac:dyDescent="0.25">
      <c r="A13" s="30">
        <v>7</v>
      </c>
      <c r="B13" s="382" t="s">
        <v>1293</v>
      </c>
      <c r="C13" s="518" t="s">
        <v>1313</v>
      </c>
      <c r="D13" s="520">
        <v>0</v>
      </c>
      <c r="E13" s="43"/>
      <c r="F13" s="528">
        <f t="shared" si="0"/>
        <v>0</v>
      </c>
      <c r="G13" s="530"/>
    </row>
    <row r="14" spans="1:7" x14ac:dyDescent="0.25">
      <c r="A14" s="30">
        <v>8</v>
      </c>
      <c r="B14" s="382" t="s">
        <v>1294</v>
      </c>
      <c r="C14" s="518" t="s">
        <v>1314</v>
      </c>
      <c r="D14" s="519">
        <v>265000000</v>
      </c>
      <c r="E14" s="43"/>
      <c r="F14" s="528">
        <f t="shared" si="0"/>
        <v>265000000</v>
      </c>
      <c r="G14" s="530"/>
    </row>
    <row r="15" spans="1:7" x14ac:dyDescent="0.25">
      <c r="A15" s="30">
        <v>9</v>
      </c>
      <c r="B15" s="382" t="s">
        <v>1295</v>
      </c>
      <c r="C15" s="518" t="s">
        <v>1315</v>
      </c>
      <c r="D15" s="519">
        <v>25000000</v>
      </c>
      <c r="E15" s="43"/>
      <c r="F15" s="528">
        <f t="shared" si="0"/>
        <v>25000000</v>
      </c>
      <c r="G15" s="530"/>
    </row>
    <row r="16" spans="1:7" x14ac:dyDescent="0.25">
      <c r="A16" s="30">
        <v>10</v>
      </c>
      <c r="B16" s="382" t="s">
        <v>1296</v>
      </c>
      <c r="C16" s="518" t="s">
        <v>1316</v>
      </c>
      <c r="D16" s="519">
        <v>6719600000</v>
      </c>
      <c r="E16" s="43"/>
      <c r="F16" s="528">
        <f t="shared" si="0"/>
        <v>6719600000</v>
      </c>
      <c r="G16" s="530"/>
    </row>
    <row r="17" spans="1:7" x14ac:dyDescent="0.25">
      <c r="A17" s="30">
        <v>11</v>
      </c>
      <c r="B17" s="382" t="s">
        <v>1297</v>
      </c>
      <c r="C17" s="518" t="s">
        <v>1317</v>
      </c>
      <c r="D17" s="520">
        <v>0</v>
      </c>
      <c r="E17" s="43"/>
      <c r="F17" s="528">
        <f t="shared" si="0"/>
        <v>0</v>
      </c>
      <c r="G17" s="530"/>
    </row>
    <row r="18" spans="1:7" ht="22.5" x14ac:dyDescent="0.25">
      <c r="A18" s="30">
        <v>12</v>
      </c>
      <c r="B18" s="382" t="s">
        <v>1298</v>
      </c>
      <c r="C18" s="518" t="s">
        <v>1318</v>
      </c>
      <c r="D18" s="520">
        <v>0</v>
      </c>
      <c r="E18" s="43"/>
      <c r="F18" s="528">
        <f t="shared" si="0"/>
        <v>0</v>
      </c>
      <c r="G18" s="530"/>
    </row>
    <row r="19" spans="1:7" x14ac:dyDescent="0.25">
      <c r="A19" s="30">
        <v>13</v>
      </c>
      <c r="B19" s="382" t="s">
        <v>1299</v>
      </c>
      <c r="C19" s="518" t="s">
        <v>1319</v>
      </c>
      <c r="D19" s="520">
        <v>0</v>
      </c>
      <c r="E19" s="43"/>
      <c r="F19" s="528">
        <f t="shared" si="0"/>
        <v>0</v>
      </c>
      <c r="G19" s="530"/>
    </row>
    <row r="20" spans="1:7" x14ac:dyDescent="0.25">
      <c r="A20" s="30">
        <v>14</v>
      </c>
      <c r="B20" s="382" t="s">
        <v>1300</v>
      </c>
      <c r="C20" s="518" t="s">
        <v>1320</v>
      </c>
      <c r="D20" s="519">
        <v>26600000000</v>
      </c>
      <c r="E20" s="43"/>
      <c r="F20" s="528">
        <f t="shared" si="0"/>
        <v>26600000000</v>
      </c>
      <c r="G20" s="530"/>
    </row>
    <row r="21" spans="1:7" x14ac:dyDescent="0.25">
      <c r="A21" s="30">
        <v>15</v>
      </c>
      <c r="B21" s="382" t="s">
        <v>1301</v>
      </c>
      <c r="C21" s="518" t="s">
        <v>1321</v>
      </c>
      <c r="D21" s="519">
        <v>2000000000</v>
      </c>
      <c r="E21" s="43"/>
      <c r="F21" s="528">
        <f t="shared" si="0"/>
        <v>2000000000</v>
      </c>
      <c r="G21" s="530"/>
    </row>
    <row r="22" spans="1:7" x14ac:dyDescent="0.25">
      <c r="A22" s="30">
        <v>16</v>
      </c>
      <c r="B22" s="382" t="s">
        <v>1302</v>
      </c>
      <c r="C22" s="518" t="s">
        <v>1322</v>
      </c>
      <c r="D22" s="519">
        <v>17929054140.32</v>
      </c>
      <c r="E22" s="43">
        <v>2250000000</v>
      </c>
      <c r="F22" s="528">
        <f t="shared" si="0"/>
        <v>15679054140.32</v>
      </c>
      <c r="G22" s="530" t="s">
        <v>1330</v>
      </c>
    </row>
    <row r="23" spans="1:7" x14ac:dyDescent="0.25">
      <c r="A23" s="30">
        <v>17</v>
      </c>
      <c r="B23" s="382" t="s">
        <v>1303</v>
      </c>
      <c r="C23" s="518" t="s">
        <v>1323</v>
      </c>
      <c r="D23" s="520">
        <v>0</v>
      </c>
      <c r="E23" s="43"/>
      <c r="F23" s="528">
        <f t="shared" si="0"/>
        <v>0</v>
      </c>
      <c r="G23" s="530"/>
    </row>
    <row r="24" spans="1:7" ht="22.5" x14ac:dyDescent="0.25">
      <c r="A24" s="30">
        <v>18</v>
      </c>
      <c r="B24" s="382" t="s">
        <v>1304</v>
      </c>
      <c r="C24" s="518" t="s">
        <v>1324</v>
      </c>
      <c r="D24" s="526">
        <v>0</v>
      </c>
      <c r="E24" s="43">
        <v>6250000000</v>
      </c>
      <c r="F24" s="528">
        <f>D24+E24</f>
        <v>6250000000</v>
      </c>
      <c r="G24" s="530" t="s">
        <v>1329</v>
      </c>
    </row>
    <row r="25" spans="1:7" x14ac:dyDescent="0.25">
      <c r="A25" s="30">
        <v>19</v>
      </c>
      <c r="B25" s="382" t="s">
        <v>1305</v>
      </c>
      <c r="C25" s="518" t="s">
        <v>1325</v>
      </c>
      <c r="D25" s="520">
        <v>0</v>
      </c>
      <c r="E25" s="43"/>
      <c r="F25" s="528">
        <f t="shared" si="0"/>
        <v>0</v>
      </c>
      <c r="G25" s="530"/>
    </row>
    <row r="26" spans="1:7" ht="15.75" thickBot="1" x14ac:dyDescent="0.3">
      <c r="A26" s="533">
        <v>20</v>
      </c>
      <c r="B26" s="523" t="s">
        <v>1306</v>
      </c>
      <c r="C26" s="524" t="s">
        <v>1326</v>
      </c>
      <c r="D26" s="525">
        <v>16763282735</v>
      </c>
      <c r="E26" s="366"/>
      <c r="F26" s="531">
        <f t="shared" si="0"/>
        <v>16763282735</v>
      </c>
      <c r="G26" s="534"/>
    </row>
    <row r="27" spans="1:7" ht="15.75" thickBot="1" x14ac:dyDescent="0.3">
      <c r="A27" s="662" t="s">
        <v>1252</v>
      </c>
      <c r="B27" s="663"/>
      <c r="C27" s="663"/>
      <c r="D27" s="537">
        <f t="shared" ref="D27:E27" si="1">SUM(D7:D26)</f>
        <v>130328258273.54999</v>
      </c>
      <c r="E27" s="115">
        <f t="shared" si="1"/>
        <v>8500000000</v>
      </c>
      <c r="F27" s="529">
        <f>SUM(F7:F26)</f>
        <v>134328258273.54999</v>
      </c>
      <c r="G27" s="539"/>
    </row>
    <row r="28" spans="1:7" x14ac:dyDescent="0.25">
      <c r="A28" s="57"/>
      <c r="B28" s="500"/>
      <c r="C28" s="500"/>
      <c r="D28" s="500"/>
      <c r="E28" s="500"/>
      <c r="F28" s="57"/>
    </row>
    <row r="29" spans="1:7" x14ac:dyDescent="0.25">
      <c r="A29" s="667" t="s">
        <v>1327</v>
      </c>
      <c r="B29" s="667"/>
      <c r="C29" s="667"/>
      <c r="D29" s="667"/>
      <c r="E29" s="667"/>
      <c r="F29" s="667"/>
      <c r="G29" s="667"/>
    </row>
    <row r="30" spans="1:7" s="29" customFormat="1" ht="15" customHeight="1" x14ac:dyDescent="0.25">
      <c r="A30" s="59">
        <v>1</v>
      </c>
      <c r="B30" s="382" t="s">
        <v>1256</v>
      </c>
      <c r="C30" s="518" t="s">
        <v>1271</v>
      </c>
      <c r="D30" s="519">
        <v>16000000000</v>
      </c>
      <c r="E30" s="43">
        <v>3000000000</v>
      </c>
      <c r="F30" s="528">
        <f>D30-E30</f>
        <v>13000000000</v>
      </c>
      <c r="G30" s="60" t="s">
        <v>1330</v>
      </c>
    </row>
    <row r="31" spans="1:7" s="29" customFormat="1" ht="15" customHeight="1" x14ac:dyDescent="0.25">
      <c r="A31" s="59">
        <v>2</v>
      </c>
      <c r="B31" s="382" t="s">
        <v>1257</v>
      </c>
      <c r="C31" s="518" t="s">
        <v>1272</v>
      </c>
      <c r="D31" s="519">
        <v>200000000</v>
      </c>
      <c r="E31" s="180"/>
      <c r="F31" s="528">
        <f>D31-E31</f>
        <v>200000000</v>
      </c>
      <c r="G31" s="60"/>
    </row>
    <row r="32" spans="1:7" s="29" customFormat="1" ht="15" customHeight="1" x14ac:dyDescent="0.25">
      <c r="A32" s="59">
        <v>3</v>
      </c>
      <c r="B32" s="382" t="s">
        <v>1258</v>
      </c>
      <c r="C32" s="518" t="s">
        <v>1273</v>
      </c>
      <c r="D32" s="519">
        <v>100000000</v>
      </c>
      <c r="E32" s="180"/>
      <c r="F32" s="528">
        <f t="shared" ref="F32:F44" si="2">D32-E32</f>
        <v>100000000</v>
      </c>
      <c r="G32" s="60"/>
    </row>
    <row r="33" spans="1:7" s="29" customFormat="1" ht="15" customHeight="1" x14ac:dyDescent="0.25">
      <c r="A33" s="59">
        <v>4</v>
      </c>
      <c r="B33" s="382" t="s">
        <v>1259</v>
      </c>
      <c r="C33" s="518" t="s">
        <v>1274</v>
      </c>
      <c r="D33" s="519">
        <v>2400000000</v>
      </c>
      <c r="E33" s="180">
        <v>1000000000</v>
      </c>
      <c r="F33" s="528">
        <f t="shared" si="2"/>
        <v>1400000000</v>
      </c>
      <c r="G33" s="60" t="s">
        <v>1330</v>
      </c>
    </row>
    <row r="34" spans="1:7" s="29" customFormat="1" ht="15" customHeight="1" x14ac:dyDescent="0.25">
      <c r="A34" s="59">
        <v>5</v>
      </c>
      <c r="B34" s="382" t="s">
        <v>1260</v>
      </c>
      <c r="C34" s="518" t="s">
        <v>1275</v>
      </c>
      <c r="D34" s="519">
        <v>450937000</v>
      </c>
      <c r="E34" s="180"/>
      <c r="F34" s="528">
        <f t="shared" si="2"/>
        <v>450937000</v>
      </c>
      <c r="G34" s="60"/>
    </row>
    <row r="35" spans="1:7" s="29" customFormat="1" ht="15" customHeight="1" x14ac:dyDescent="0.25">
      <c r="A35" s="59">
        <v>6</v>
      </c>
      <c r="B35" s="382" t="s">
        <v>1261</v>
      </c>
      <c r="C35" s="518" t="s">
        <v>1286</v>
      </c>
      <c r="D35" s="520">
        <v>0</v>
      </c>
      <c r="E35" s="180"/>
      <c r="F35" s="528">
        <f t="shared" si="2"/>
        <v>0</v>
      </c>
      <c r="G35" s="60"/>
    </row>
    <row r="36" spans="1:7" s="29" customFormat="1" ht="15" customHeight="1" x14ac:dyDescent="0.25">
      <c r="A36" s="59">
        <v>7</v>
      </c>
      <c r="B36" s="382" t="s">
        <v>1262</v>
      </c>
      <c r="C36" s="518" t="s">
        <v>1276</v>
      </c>
      <c r="D36" s="519">
        <v>300000000</v>
      </c>
      <c r="E36" s="180"/>
      <c r="F36" s="528">
        <f t="shared" si="2"/>
        <v>300000000</v>
      </c>
      <c r="G36" s="60"/>
    </row>
    <row r="37" spans="1:7" s="29" customFormat="1" ht="15" customHeight="1" x14ac:dyDescent="0.25">
      <c r="A37" s="59">
        <v>8</v>
      </c>
      <c r="B37" s="382" t="s">
        <v>1263</v>
      </c>
      <c r="C37" s="518" t="s">
        <v>1277</v>
      </c>
      <c r="D37" s="519">
        <v>82290000</v>
      </c>
      <c r="E37" s="180"/>
      <c r="F37" s="528">
        <f t="shared" si="2"/>
        <v>82290000</v>
      </c>
      <c r="G37" s="60"/>
    </row>
    <row r="38" spans="1:7" s="29" customFormat="1" ht="16.5" customHeight="1" x14ac:dyDescent="0.25">
      <c r="A38" s="59">
        <v>9</v>
      </c>
      <c r="B38" s="382" t="s">
        <v>1264</v>
      </c>
      <c r="C38" s="518" t="s">
        <v>1278</v>
      </c>
      <c r="D38" s="519">
        <v>300000000</v>
      </c>
      <c r="E38" s="180"/>
      <c r="F38" s="528">
        <f t="shared" si="2"/>
        <v>300000000</v>
      </c>
      <c r="G38" s="60"/>
    </row>
    <row r="39" spans="1:7" s="29" customFormat="1" ht="15" customHeight="1" x14ac:dyDescent="0.25">
      <c r="A39" s="59">
        <v>10</v>
      </c>
      <c r="B39" s="382" t="s">
        <v>1265</v>
      </c>
      <c r="C39" s="518" t="s">
        <v>1279</v>
      </c>
      <c r="D39" s="519">
        <v>800000</v>
      </c>
      <c r="E39" s="180"/>
      <c r="F39" s="528">
        <f t="shared" si="2"/>
        <v>800000</v>
      </c>
      <c r="G39" s="60"/>
    </row>
    <row r="40" spans="1:7" s="29" customFormat="1" ht="15" customHeight="1" x14ac:dyDescent="0.25">
      <c r="A40" s="59">
        <v>11</v>
      </c>
      <c r="B40" s="382" t="s">
        <v>1266</v>
      </c>
      <c r="C40" s="518" t="s">
        <v>1280</v>
      </c>
      <c r="D40" s="519">
        <v>1070182400.22</v>
      </c>
      <c r="E40" s="180"/>
      <c r="F40" s="528">
        <f t="shared" si="2"/>
        <v>1070182400.22</v>
      </c>
      <c r="G40" s="60"/>
    </row>
    <row r="41" spans="1:7" s="29" customFormat="1" x14ac:dyDescent="0.25">
      <c r="A41" s="59">
        <v>12</v>
      </c>
      <c r="B41" s="382" t="s">
        <v>1267</v>
      </c>
      <c r="C41" s="518" t="s">
        <v>1281</v>
      </c>
      <c r="D41" s="519">
        <v>50000000</v>
      </c>
      <c r="E41" s="180"/>
      <c r="F41" s="528">
        <f t="shared" si="2"/>
        <v>50000000</v>
      </c>
      <c r="G41" s="60"/>
    </row>
    <row r="42" spans="1:7" s="29" customFormat="1" ht="15.75" customHeight="1" x14ac:dyDescent="0.25">
      <c r="A42" s="59">
        <v>13</v>
      </c>
      <c r="B42" s="382" t="s">
        <v>1268</v>
      </c>
      <c r="C42" s="518" t="s">
        <v>1282</v>
      </c>
      <c r="D42" s="520">
        <v>0</v>
      </c>
      <c r="E42" s="180"/>
      <c r="F42" s="528">
        <f t="shared" si="2"/>
        <v>0</v>
      </c>
      <c r="G42" s="60"/>
    </row>
    <row r="43" spans="1:7" s="29" customFormat="1" ht="24.75" customHeight="1" x14ac:dyDescent="0.25">
      <c r="A43" s="59">
        <v>14</v>
      </c>
      <c r="B43" s="382" t="s">
        <v>1269</v>
      </c>
      <c r="C43" s="518" t="s">
        <v>1283</v>
      </c>
      <c r="D43" s="519">
        <v>200000000</v>
      </c>
      <c r="E43" s="180"/>
      <c r="F43" s="528">
        <f t="shared" si="2"/>
        <v>200000000</v>
      </c>
      <c r="G43" s="60"/>
    </row>
    <row r="44" spans="1:7" s="29" customFormat="1" ht="23.25" thickBot="1" x14ac:dyDescent="0.3">
      <c r="A44" s="294">
        <v>15</v>
      </c>
      <c r="B44" s="523" t="s">
        <v>1270</v>
      </c>
      <c r="C44" s="524" t="s">
        <v>1284</v>
      </c>
      <c r="D44" s="525">
        <v>2000000000</v>
      </c>
      <c r="E44" s="517"/>
      <c r="F44" s="531">
        <f t="shared" si="2"/>
        <v>2000000000</v>
      </c>
      <c r="G44" s="532"/>
    </row>
    <row r="45" spans="1:7" ht="15.75" thickBot="1" x14ac:dyDescent="0.3">
      <c r="A45" s="662" t="s">
        <v>1252</v>
      </c>
      <c r="B45" s="663"/>
      <c r="C45" s="663"/>
      <c r="D45" s="537">
        <f t="shared" ref="D45:E45" si="3">SUM(D30:D44)</f>
        <v>23154209400.220001</v>
      </c>
      <c r="E45" s="115">
        <f t="shared" si="3"/>
        <v>4000000000</v>
      </c>
      <c r="F45" s="537">
        <f>SUM(F30:F44)</f>
        <v>19154209400.220001</v>
      </c>
      <c r="G45" s="538"/>
    </row>
    <row r="46" spans="1:7" ht="15.75" thickBot="1" x14ac:dyDescent="0.3">
      <c r="A46" s="658" t="s">
        <v>1331</v>
      </c>
      <c r="B46" s="659"/>
      <c r="C46" s="659"/>
      <c r="D46" s="535">
        <f t="shared" ref="D46" si="4">D45+D27</f>
        <v>153482467673.76999</v>
      </c>
      <c r="E46" s="535">
        <v>0</v>
      </c>
      <c r="F46" s="535">
        <f>F45+F27</f>
        <v>153482467673.76999</v>
      </c>
      <c r="G46" s="536"/>
    </row>
    <row r="53" spans="9:9" x14ac:dyDescent="0.25">
      <c r="I53" s="114"/>
    </row>
  </sheetData>
  <mergeCells count="8">
    <mergeCell ref="A46:C46"/>
    <mergeCell ref="A1:F1"/>
    <mergeCell ref="A2:F2"/>
    <mergeCell ref="A3:F3"/>
    <mergeCell ref="A45:C45"/>
    <mergeCell ref="A27:C27"/>
    <mergeCell ref="A6:G6"/>
    <mergeCell ref="A29:G29"/>
  </mergeCells>
  <pageMargins left="0.7" right="0.7" top="0.75" bottom="0.75" header="0.3" footer="0.3"/>
  <pageSetup firstPageNumber="2" orientation="landscape" useFirstPageNumber="1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8"/>
  <sheetViews>
    <sheetView workbookViewId="0">
      <selection activeCell="A15" sqref="A15:XFD15"/>
    </sheetView>
  </sheetViews>
  <sheetFormatPr defaultRowHeight="15" x14ac:dyDescent="0.25"/>
  <cols>
    <col min="1" max="1" width="5.7109375" style="9" customWidth="1"/>
    <col min="2" max="2" width="65.85546875" customWidth="1"/>
    <col min="3" max="3" width="32.7109375" customWidth="1"/>
    <col min="5" max="5" width="18" bestFit="1" customWidth="1"/>
    <col min="8" max="8" width="16.85546875" bestFit="1" customWidth="1"/>
  </cols>
  <sheetData>
    <row r="1" spans="1:8" ht="27.75" customHeight="1" x14ac:dyDescent="0.25">
      <c r="A1" s="668" t="s">
        <v>7</v>
      </c>
      <c r="B1" s="668"/>
      <c r="C1" s="668"/>
      <c r="D1" s="668"/>
    </row>
    <row r="2" spans="1:8" ht="30" customHeight="1" x14ac:dyDescent="0.25">
      <c r="A2" s="669" t="s">
        <v>1477</v>
      </c>
      <c r="B2" s="669"/>
      <c r="C2" s="669"/>
      <c r="D2" s="669"/>
    </row>
    <row r="3" spans="1:8" ht="22.5" customHeight="1" thickBot="1" x14ac:dyDescent="0.3">
      <c r="A3" s="609" t="s">
        <v>8</v>
      </c>
      <c r="B3" s="610"/>
      <c r="C3" s="610"/>
      <c r="D3" s="611"/>
    </row>
    <row r="4" spans="1:8" ht="27" customHeight="1" thickBot="1" x14ac:dyDescent="0.3">
      <c r="A4" s="612" t="s">
        <v>0</v>
      </c>
      <c r="B4" s="613" t="s">
        <v>9</v>
      </c>
      <c r="C4" s="614" t="s">
        <v>10</v>
      </c>
      <c r="D4" s="611"/>
    </row>
    <row r="5" spans="1:8" ht="30" customHeight="1" x14ac:dyDescent="0.25">
      <c r="A5" s="196">
        <v>1</v>
      </c>
      <c r="B5" s="607" t="s">
        <v>1338</v>
      </c>
      <c r="C5" s="615">
        <v>0</v>
      </c>
      <c r="D5" s="611"/>
    </row>
    <row r="6" spans="1:8" ht="27" customHeight="1" x14ac:dyDescent="0.25">
      <c r="A6" s="197">
        <v>2</v>
      </c>
      <c r="B6" s="608" t="s">
        <v>11</v>
      </c>
      <c r="C6" s="81">
        <f>'Pooled fund personnel'!H16</f>
        <v>3064073000</v>
      </c>
      <c r="D6" s="611"/>
      <c r="H6" s="4"/>
    </row>
    <row r="7" spans="1:8" ht="27" customHeight="1" x14ac:dyDescent="0.25">
      <c r="A7" s="196">
        <v>3</v>
      </c>
      <c r="B7" s="608" t="s">
        <v>12</v>
      </c>
      <c r="C7" s="81">
        <f>'Pooled Fund SP'!H21</f>
        <v>132508000</v>
      </c>
      <c r="D7" s="611"/>
    </row>
    <row r="8" spans="1:8" ht="27" customHeight="1" x14ac:dyDescent="0.25">
      <c r="A8" s="197">
        <v>4</v>
      </c>
      <c r="B8" s="608" t="s">
        <v>534</v>
      </c>
      <c r="C8" s="198">
        <f>C5+C6+C7</f>
        <v>3196581000</v>
      </c>
      <c r="D8" s="611"/>
    </row>
    <row r="9" spans="1:8" x14ac:dyDescent="0.25">
      <c r="A9" s="196">
        <v>5</v>
      </c>
      <c r="B9" s="608" t="s">
        <v>530</v>
      </c>
      <c r="C9" s="582">
        <f>'summary of recurent allocation'!F44</f>
        <v>3196581000</v>
      </c>
      <c r="D9" s="611"/>
    </row>
    <row r="10" spans="1:8" ht="15.75" hidden="1" customHeight="1" x14ac:dyDescent="0.25">
      <c r="A10" s="243"/>
      <c r="B10" s="244" t="s">
        <v>706</v>
      </c>
      <c r="C10" s="463">
        <f>C8-C9</f>
        <v>0</v>
      </c>
      <c r="D10" s="611"/>
    </row>
    <row r="11" spans="1:8" ht="23.25" customHeight="1" thickBot="1" x14ac:dyDescent="0.3">
      <c r="A11" s="609" t="s">
        <v>13</v>
      </c>
      <c r="B11" s="610"/>
      <c r="C11" s="610"/>
      <c r="D11" s="611"/>
    </row>
    <row r="12" spans="1:8" ht="27.75" customHeight="1" thickBot="1" x14ac:dyDescent="0.3">
      <c r="A12" s="612" t="s">
        <v>0</v>
      </c>
      <c r="B12" s="614" t="s">
        <v>9</v>
      </c>
      <c r="C12" s="614" t="s">
        <v>10</v>
      </c>
      <c r="D12" s="611"/>
      <c r="E12" s="10"/>
      <c r="H12" s="4"/>
    </row>
    <row r="13" spans="1:8" ht="27" customHeight="1" x14ac:dyDescent="0.25">
      <c r="A13" s="77">
        <v>1</v>
      </c>
      <c r="B13" s="607" t="s">
        <v>14</v>
      </c>
      <c r="C13" s="603">
        <f>'Pooled Fund detail Capital'!H63</f>
        <v>9976145000</v>
      </c>
      <c r="D13" s="611"/>
    </row>
    <row r="14" spans="1:8" ht="26.25" customHeight="1" x14ac:dyDescent="0.25">
      <c r="A14" s="79">
        <v>2</v>
      </c>
      <c r="B14" s="607" t="s">
        <v>531</v>
      </c>
      <c r="C14" s="604">
        <f>'Summary of capital allocation'!D32</f>
        <v>9976145000</v>
      </c>
      <c r="D14" s="611"/>
      <c r="E14" s="3"/>
    </row>
    <row r="15" spans="1:8" ht="15" hidden="1" customHeight="1" x14ac:dyDescent="0.25">
      <c r="A15" s="243">
        <v>3</v>
      </c>
      <c r="B15" s="244" t="s">
        <v>706</v>
      </c>
      <c r="C15" s="463">
        <f>C13-C14</f>
        <v>0</v>
      </c>
      <c r="D15" s="611"/>
    </row>
    <row r="16" spans="1:8" x14ac:dyDescent="0.25">
      <c r="A16" s="7"/>
      <c r="B16" s="8"/>
      <c r="C16" s="8"/>
      <c r="D16" s="10"/>
      <c r="E16" s="3"/>
    </row>
    <row r="17" spans="1:4" ht="15.75" thickBot="1" x14ac:dyDescent="0.3">
      <c r="A17" s="670" t="s">
        <v>538</v>
      </c>
      <c r="B17" s="670"/>
      <c r="C17" s="17"/>
      <c r="D17" s="10"/>
    </row>
    <row r="18" spans="1:4" ht="15.75" thickBot="1" x14ac:dyDescent="0.3">
      <c r="A18" s="415" t="s">
        <v>0</v>
      </c>
      <c r="B18" s="413" t="s">
        <v>539</v>
      </c>
      <c r="C18" s="414" t="s">
        <v>10</v>
      </c>
      <c r="D18" s="10"/>
    </row>
    <row r="19" spans="1:4" x14ac:dyDescent="0.25">
      <c r="A19" s="77">
        <v>1</v>
      </c>
      <c r="B19" s="607" t="s">
        <v>537</v>
      </c>
      <c r="C19" s="605">
        <f>C8+C13</f>
        <v>13172726000</v>
      </c>
      <c r="D19" s="10"/>
    </row>
    <row r="20" spans="1:4" x14ac:dyDescent="0.25">
      <c r="A20" s="79">
        <v>2</v>
      </c>
      <c r="B20" s="80" t="s">
        <v>536</v>
      </c>
      <c r="C20" s="606">
        <f>C9+C14</f>
        <v>13172726000</v>
      </c>
      <c r="D20" s="10"/>
    </row>
    <row r="21" spans="1:4" x14ac:dyDescent="0.25">
      <c r="A21" s="204"/>
      <c r="B21" s="205"/>
      <c r="C21" s="206"/>
      <c r="D21" s="10"/>
    </row>
    <row r="22" spans="1:4" x14ac:dyDescent="0.25">
      <c r="A22" s="13"/>
      <c r="B22" s="205"/>
      <c r="C22" s="14"/>
      <c r="D22" s="10"/>
    </row>
    <row r="23" spans="1:4" x14ac:dyDescent="0.25">
      <c r="A23" s="671">
        <v>4</v>
      </c>
      <c r="B23" s="671"/>
      <c r="C23" s="671"/>
    </row>
    <row r="24" spans="1:4" x14ac:dyDescent="0.25">
      <c r="A24" s="671"/>
      <c r="B24" s="671"/>
      <c r="C24" s="671"/>
    </row>
    <row r="25" spans="1:4" x14ac:dyDescent="0.25">
      <c r="A25" s="13"/>
      <c r="B25" s="5"/>
      <c r="C25" s="5"/>
    </row>
    <row r="26" spans="1:4" ht="23.25" customHeight="1" x14ac:dyDescent="0.25">
      <c r="A26" s="655"/>
      <c r="B26" s="655"/>
      <c r="C26" s="655"/>
    </row>
    <row r="27" spans="1:4" ht="23.25" customHeight="1" x14ac:dyDescent="0.25">
      <c r="A27" s="656"/>
      <c r="B27" s="656"/>
      <c r="C27" s="656"/>
    </row>
    <row r="28" spans="1:4" ht="21.75" customHeight="1" x14ac:dyDescent="0.25">
      <c r="A28" s="7"/>
      <c r="B28" s="8"/>
      <c r="C28" s="8"/>
    </row>
    <row r="29" spans="1:4" ht="30" customHeight="1" x14ac:dyDescent="0.25">
      <c r="A29" s="16"/>
      <c r="B29" s="17"/>
      <c r="C29" s="17"/>
    </row>
    <row r="30" spans="1:4" ht="29.25" customHeight="1" x14ac:dyDescent="0.25">
      <c r="A30" s="11"/>
      <c r="B30" s="18"/>
      <c r="C30" s="19"/>
    </row>
    <row r="31" spans="1:4" ht="26.25" customHeight="1" x14ac:dyDescent="0.25">
      <c r="A31" s="11"/>
      <c r="B31" s="18"/>
      <c r="C31" s="20"/>
    </row>
    <row r="32" spans="1:4" ht="26.25" customHeight="1" x14ac:dyDescent="0.25">
      <c r="A32" s="11"/>
      <c r="B32" s="18"/>
      <c r="C32" s="21"/>
    </row>
    <row r="33" spans="1:4" ht="26.25" customHeight="1" x14ac:dyDescent="0.25">
      <c r="A33" s="16"/>
      <c r="B33" s="12"/>
      <c r="C33" s="12"/>
    </row>
    <row r="34" spans="1:4" x14ac:dyDescent="0.25">
      <c r="A34" s="11"/>
      <c r="B34" s="18"/>
      <c r="C34" s="12"/>
    </row>
    <row r="35" spans="1:4" x14ac:dyDescent="0.25">
      <c r="A35" s="13"/>
      <c r="B35" s="14"/>
      <c r="C35" s="15"/>
    </row>
    <row r="36" spans="1:4" x14ac:dyDescent="0.25">
      <c r="A36" s="13"/>
      <c r="B36" s="22"/>
      <c r="C36" s="5"/>
    </row>
    <row r="37" spans="1:4" x14ac:dyDescent="0.25">
      <c r="B37" s="23"/>
    </row>
    <row r="38" spans="1:4" x14ac:dyDescent="0.25">
      <c r="C38" s="10"/>
    </row>
    <row r="39" spans="1:4" x14ac:dyDescent="0.25">
      <c r="C39" s="10"/>
    </row>
    <row r="40" spans="1:4" x14ac:dyDescent="0.25">
      <c r="C40" s="10"/>
    </row>
    <row r="41" spans="1:4" x14ac:dyDescent="0.25">
      <c r="C41" s="10"/>
    </row>
    <row r="42" spans="1:4" x14ac:dyDescent="0.25">
      <c r="C42" s="10"/>
    </row>
    <row r="43" spans="1:4" x14ac:dyDescent="0.25">
      <c r="C43" s="10"/>
      <c r="D43" s="24"/>
    </row>
    <row r="44" spans="1:4" x14ac:dyDescent="0.25">
      <c r="C44" s="10"/>
      <c r="D44" s="24"/>
    </row>
    <row r="45" spans="1:4" x14ac:dyDescent="0.25">
      <c r="C45" s="10"/>
      <c r="D45" s="24"/>
    </row>
    <row r="46" spans="1:4" x14ac:dyDescent="0.25">
      <c r="C46" s="10"/>
      <c r="D46" s="24"/>
    </row>
    <row r="47" spans="1:4" x14ac:dyDescent="0.25">
      <c r="C47" s="10"/>
      <c r="D47" s="24"/>
    </row>
    <row r="48" spans="1:4" ht="25.5" customHeight="1" x14ac:dyDescent="0.25">
      <c r="C48" s="10"/>
      <c r="D48" s="24"/>
    </row>
    <row r="49" spans="2:4" ht="27" customHeight="1" x14ac:dyDescent="0.25">
      <c r="C49" s="10"/>
      <c r="D49" s="24"/>
    </row>
    <row r="50" spans="2:4" ht="32.25" customHeight="1" x14ac:dyDescent="0.25">
      <c r="D50" s="24"/>
    </row>
    <row r="51" spans="2:4" x14ac:dyDescent="0.25">
      <c r="B51" s="24"/>
      <c r="C51" s="24"/>
      <c r="D51" s="24"/>
    </row>
    <row r="52" spans="2:4" x14ac:dyDescent="0.25">
      <c r="B52" s="24"/>
      <c r="C52" s="24"/>
      <c r="D52" s="24"/>
    </row>
    <row r="53" spans="2:4" x14ac:dyDescent="0.25">
      <c r="B53" s="24"/>
      <c r="C53" s="24"/>
      <c r="D53" s="24"/>
    </row>
    <row r="54" spans="2:4" x14ac:dyDescent="0.25">
      <c r="B54" s="24"/>
      <c r="C54" s="24"/>
      <c r="D54" s="24"/>
    </row>
    <row r="55" spans="2:4" x14ac:dyDescent="0.25">
      <c r="B55" s="24"/>
      <c r="C55" s="24"/>
      <c r="D55" s="24"/>
    </row>
    <row r="56" spans="2:4" x14ac:dyDescent="0.25">
      <c r="B56" s="24"/>
      <c r="C56" s="24"/>
      <c r="D56" s="24"/>
    </row>
    <row r="57" spans="2:4" x14ac:dyDescent="0.25">
      <c r="B57" s="24"/>
      <c r="C57" s="24"/>
      <c r="D57" s="24"/>
    </row>
    <row r="58" spans="2:4" x14ac:dyDescent="0.25">
      <c r="B58" s="24"/>
      <c r="C58" s="24"/>
      <c r="D58" s="24"/>
    </row>
    <row r="59" spans="2:4" x14ac:dyDescent="0.25">
      <c r="B59" s="24"/>
      <c r="C59" s="24"/>
      <c r="D59" s="24"/>
    </row>
    <row r="60" spans="2:4" x14ac:dyDescent="0.25">
      <c r="B60" s="24"/>
      <c r="C60" s="24"/>
      <c r="D60" s="24"/>
    </row>
    <row r="61" spans="2:4" x14ac:dyDescent="0.25">
      <c r="B61" s="24"/>
      <c r="C61" s="24"/>
      <c r="D61" s="24"/>
    </row>
    <row r="62" spans="2:4" x14ac:dyDescent="0.25">
      <c r="B62" s="24"/>
      <c r="C62" s="24"/>
      <c r="D62" s="24"/>
    </row>
    <row r="63" spans="2:4" x14ac:dyDescent="0.25">
      <c r="B63" s="24"/>
      <c r="C63" s="24"/>
      <c r="D63" s="24"/>
    </row>
    <row r="64" spans="2:4" x14ac:dyDescent="0.25">
      <c r="B64" s="24"/>
      <c r="C64" s="24"/>
      <c r="D64" s="24"/>
    </row>
    <row r="65" spans="2:4" x14ac:dyDescent="0.25">
      <c r="B65" s="24"/>
      <c r="C65" s="24"/>
      <c r="D65" s="24"/>
    </row>
    <row r="66" spans="2:4" x14ac:dyDescent="0.25">
      <c r="B66" s="24"/>
      <c r="C66" s="24"/>
      <c r="D66" s="24"/>
    </row>
    <row r="67" spans="2:4" x14ac:dyDescent="0.25">
      <c r="B67" s="24"/>
      <c r="C67" s="24"/>
      <c r="D67" s="24"/>
    </row>
    <row r="68" spans="2:4" x14ac:dyDescent="0.25">
      <c r="B68" s="24"/>
      <c r="C68" s="24"/>
      <c r="D68" s="24"/>
    </row>
    <row r="69" spans="2:4" x14ac:dyDescent="0.25">
      <c r="B69" s="24"/>
      <c r="C69" s="24"/>
      <c r="D69" s="24"/>
    </row>
    <row r="70" spans="2:4" x14ac:dyDescent="0.25">
      <c r="B70" s="24"/>
      <c r="C70" s="24"/>
      <c r="D70" s="24"/>
    </row>
    <row r="71" spans="2:4" x14ac:dyDescent="0.25">
      <c r="B71" s="24"/>
      <c r="C71" s="24"/>
      <c r="D71" s="24"/>
    </row>
    <row r="72" spans="2:4" x14ac:dyDescent="0.25">
      <c r="B72" s="24"/>
      <c r="C72" s="24"/>
      <c r="D72" s="24"/>
    </row>
    <row r="73" spans="2:4" x14ac:dyDescent="0.25">
      <c r="B73" s="24"/>
      <c r="C73" s="24"/>
      <c r="D73" s="24"/>
    </row>
    <row r="74" spans="2:4" x14ac:dyDescent="0.25">
      <c r="B74" s="24"/>
      <c r="C74" s="24"/>
      <c r="D74" s="24"/>
    </row>
    <row r="75" spans="2:4" x14ac:dyDescent="0.25">
      <c r="B75" s="24"/>
      <c r="C75" s="24"/>
      <c r="D75" s="24"/>
    </row>
    <row r="76" spans="2:4" x14ac:dyDescent="0.25">
      <c r="B76" s="24"/>
      <c r="C76" s="24"/>
      <c r="D76" s="24"/>
    </row>
    <row r="77" spans="2:4" x14ac:dyDescent="0.25">
      <c r="B77" s="24"/>
      <c r="C77" s="24"/>
      <c r="D77" s="24"/>
    </row>
    <row r="78" spans="2:4" x14ac:dyDescent="0.25">
      <c r="B78" s="24"/>
      <c r="C78" s="24"/>
      <c r="D78" s="24"/>
    </row>
    <row r="79" spans="2:4" x14ac:dyDescent="0.25">
      <c r="B79" s="24"/>
      <c r="C79" s="24"/>
      <c r="D79" s="24"/>
    </row>
    <row r="80" spans="2:4" x14ac:dyDescent="0.25">
      <c r="B80" s="24"/>
      <c r="C80" s="24"/>
      <c r="D80" s="24"/>
    </row>
    <row r="81" spans="2:4" x14ac:dyDescent="0.25">
      <c r="B81" s="24"/>
      <c r="C81" s="24"/>
      <c r="D81" s="24"/>
    </row>
    <row r="82" spans="2:4" x14ac:dyDescent="0.25">
      <c r="B82" s="24"/>
      <c r="C82" s="24"/>
      <c r="D82" s="24"/>
    </row>
    <row r="83" spans="2:4" x14ac:dyDescent="0.25">
      <c r="B83" s="24"/>
      <c r="C83" s="24"/>
      <c r="D83" s="24"/>
    </row>
    <row r="84" spans="2:4" x14ac:dyDescent="0.25">
      <c r="B84" s="24"/>
      <c r="C84" s="24"/>
      <c r="D84" s="24"/>
    </row>
    <row r="85" spans="2:4" x14ac:dyDescent="0.25">
      <c r="B85" s="24"/>
      <c r="C85" s="24"/>
      <c r="D85" s="24"/>
    </row>
    <row r="86" spans="2:4" x14ac:dyDescent="0.25">
      <c r="B86" s="24"/>
      <c r="C86" s="24"/>
      <c r="D86" s="24"/>
    </row>
    <row r="87" spans="2:4" x14ac:dyDescent="0.25">
      <c r="B87" s="24"/>
      <c r="C87" s="24"/>
      <c r="D87" s="24"/>
    </row>
    <row r="88" spans="2:4" x14ac:dyDescent="0.25">
      <c r="B88" s="24"/>
      <c r="C88" s="24"/>
      <c r="D88" s="24"/>
    </row>
  </sheetData>
  <mergeCells count="7">
    <mergeCell ref="A26:C26"/>
    <mergeCell ref="A27:C27"/>
    <mergeCell ref="A1:D1"/>
    <mergeCell ref="A2:D2"/>
    <mergeCell ref="A17:B17"/>
    <mergeCell ref="A24:C24"/>
    <mergeCell ref="A23:C23"/>
  </mergeCells>
  <pageMargins left="1.25" right="1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opLeftCell="A12" workbookViewId="0">
      <selection activeCell="H30" sqref="H30"/>
    </sheetView>
  </sheetViews>
  <sheetFormatPr defaultRowHeight="15" x14ac:dyDescent="0.25"/>
  <cols>
    <col min="1" max="1" width="5" customWidth="1"/>
    <col min="2" max="2" width="40.140625" customWidth="1"/>
    <col min="3" max="3" width="6" customWidth="1"/>
    <col min="4" max="4" width="20.85546875" customWidth="1"/>
    <col min="5" max="5" width="6.5703125" customWidth="1"/>
    <col min="6" max="6" width="21.42578125" customWidth="1"/>
    <col min="7" max="7" width="6.28515625" customWidth="1"/>
    <col min="8" max="8" width="15.28515625" customWidth="1"/>
    <col min="9" max="9" width="15.28515625" bestFit="1" customWidth="1"/>
    <col min="10" max="10" width="24.7109375" customWidth="1"/>
  </cols>
  <sheetData>
    <row r="1" spans="1:8" ht="12.95" customHeight="1" x14ac:dyDescent="0.25">
      <c r="A1" s="661" t="s">
        <v>7</v>
      </c>
      <c r="B1" s="672"/>
      <c r="C1" s="672"/>
      <c r="D1" s="672"/>
      <c r="E1" s="672"/>
      <c r="F1" s="672"/>
      <c r="G1" s="672"/>
      <c r="H1" s="672"/>
    </row>
    <row r="2" spans="1:8" ht="12.95" customHeight="1" x14ac:dyDescent="0.25">
      <c r="A2" s="661" t="s">
        <v>1478</v>
      </c>
      <c r="B2" s="672"/>
      <c r="C2" s="672"/>
      <c r="D2" s="672"/>
      <c r="E2" s="672"/>
      <c r="F2" s="672"/>
      <c r="G2" s="672"/>
      <c r="H2" s="672"/>
    </row>
    <row r="3" spans="1:8" ht="12.95" customHeight="1" x14ac:dyDescent="0.25">
      <c r="A3" s="661" t="s">
        <v>1011</v>
      </c>
      <c r="B3" s="661"/>
      <c r="C3" s="661"/>
      <c r="D3" s="661"/>
      <c r="E3" s="661"/>
      <c r="F3" s="661"/>
      <c r="G3" s="661"/>
      <c r="H3" s="661"/>
    </row>
    <row r="4" spans="1:8" ht="12.95" customHeight="1" x14ac:dyDescent="0.25">
      <c r="A4" s="173"/>
      <c r="B4" s="179" t="s">
        <v>5</v>
      </c>
      <c r="C4" s="179"/>
      <c r="D4" s="173"/>
      <c r="E4" s="173"/>
      <c r="F4" s="173"/>
      <c r="G4" s="173"/>
      <c r="H4" s="173"/>
    </row>
    <row r="5" spans="1:8" ht="21" customHeight="1" x14ac:dyDescent="0.25">
      <c r="A5" s="186" t="s">
        <v>0</v>
      </c>
      <c r="B5" s="186" t="s">
        <v>1</v>
      </c>
      <c r="C5" s="186" t="s">
        <v>2</v>
      </c>
      <c r="D5" s="186" t="s">
        <v>183</v>
      </c>
      <c r="E5" s="186" t="s">
        <v>2</v>
      </c>
      <c r="F5" s="347" t="s">
        <v>532</v>
      </c>
      <c r="G5" s="186" t="s">
        <v>2</v>
      </c>
      <c r="H5" s="187" t="s">
        <v>533</v>
      </c>
    </row>
    <row r="6" spans="1:8" ht="11.1" customHeight="1" x14ac:dyDescent="0.25">
      <c r="A6" s="126">
        <v>1</v>
      </c>
      <c r="B6" s="48" t="s">
        <v>260</v>
      </c>
      <c r="C6" s="126"/>
      <c r="D6" s="130">
        <v>0</v>
      </c>
      <c r="E6" s="126" t="s">
        <v>1371</v>
      </c>
      <c r="F6" s="177">
        <f>'Details SP'!G226</f>
        <v>131500000</v>
      </c>
      <c r="G6" s="126"/>
      <c r="H6" s="408">
        <v>0</v>
      </c>
    </row>
    <row r="7" spans="1:8" ht="11.1" customHeight="1" x14ac:dyDescent="0.25">
      <c r="A7" s="126">
        <v>2</v>
      </c>
      <c r="B7" s="188" t="s">
        <v>1136</v>
      </c>
      <c r="C7" s="126"/>
      <c r="D7" s="129">
        <v>0</v>
      </c>
      <c r="E7" s="126">
        <v>18</v>
      </c>
      <c r="F7" s="406">
        <f>'Details SP'!G270</f>
        <v>20000000</v>
      </c>
      <c r="G7" s="126"/>
      <c r="H7" s="409">
        <v>0</v>
      </c>
    </row>
    <row r="8" spans="1:8" ht="11.1" customHeight="1" x14ac:dyDescent="0.25">
      <c r="A8" s="126">
        <v>3</v>
      </c>
      <c r="B8" s="48" t="s">
        <v>968</v>
      </c>
      <c r="C8" s="126">
        <v>8</v>
      </c>
      <c r="D8" s="130">
        <f>'Personnel Details'!F6</f>
        <v>6960116.0800000001</v>
      </c>
      <c r="E8" s="126">
        <v>19</v>
      </c>
      <c r="F8" s="177">
        <f>'Details SP'!G302</f>
        <v>2920000</v>
      </c>
      <c r="G8" s="126"/>
      <c r="H8" s="408">
        <v>0</v>
      </c>
    </row>
    <row r="9" spans="1:8" ht="11.1" customHeight="1" x14ac:dyDescent="0.25">
      <c r="A9" s="126">
        <v>4</v>
      </c>
      <c r="B9" s="48" t="s">
        <v>262</v>
      </c>
      <c r="C9" s="126"/>
      <c r="D9" s="130">
        <v>0</v>
      </c>
      <c r="E9" s="126">
        <v>20</v>
      </c>
      <c r="F9" s="177">
        <f>'Details SP'!G328</f>
        <v>100000000</v>
      </c>
      <c r="G9" s="126">
        <v>10</v>
      </c>
      <c r="H9" s="409">
        <f>'Details SP'!G18</f>
        <v>1500000</v>
      </c>
    </row>
    <row r="10" spans="1:8" ht="11.1" customHeight="1" x14ac:dyDescent="0.25">
      <c r="A10" s="126">
        <v>5</v>
      </c>
      <c r="B10" s="48" t="s">
        <v>705</v>
      </c>
      <c r="C10" s="126"/>
      <c r="D10" s="130">
        <v>0</v>
      </c>
      <c r="E10" s="126">
        <v>21</v>
      </c>
      <c r="F10" s="177">
        <f>'Details SP'!G366</f>
        <v>2000000</v>
      </c>
      <c r="G10" s="126"/>
      <c r="H10" s="409">
        <v>0</v>
      </c>
    </row>
    <row r="11" spans="1:8" ht="11.1" customHeight="1" x14ac:dyDescent="0.25">
      <c r="A11" s="126">
        <v>6</v>
      </c>
      <c r="B11" s="48" t="s">
        <v>1447</v>
      </c>
      <c r="C11" s="126"/>
      <c r="D11" s="130">
        <v>0</v>
      </c>
      <c r="E11" s="126">
        <v>19</v>
      </c>
      <c r="F11" s="177">
        <v>0</v>
      </c>
      <c r="G11" s="126">
        <v>11</v>
      </c>
      <c r="H11" s="409">
        <f>'Details SP'!G51</f>
        <v>4000000</v>
      </c>
    </row>
    <row r="12" spans="1:8" ht="11.1" customHeight="1" x14ac:dyDescent="0.25">
      <c r="A12" s="126">
        <v>7</v>
      </c>
      <c r="B12" s="589" t="s">
        <v>1128</v>
      </c>
      <c r="C12" s="126">
        <v>8</v>
      </c>
      <c r="D12" s="130">
        <f>'Personnel Details'!F7</f>
        <v>9546804.4299999997</v>
      </c>
      <c r="E12" s="126"/>
      <c r="F12" s="177">
        <v>0</v>
      </c>
      <c r="G12" s="126"/>
      <c r="H12" s="408">
        <v>0</v>
      </c>
    </row>
    <row r="13" spans="1:8" ht="11.1" customHeight="1" x14ac:dyDescent="0.25">
      <c r="A13" s="126">
        <v>8</v>
      </c>
      <c r="B13" s="589" t="s">
        <v>1129</v>
      </c>
      <c r="C13" s="126">
        <v>8</v>
      </c>
      <c r="D13" s="130">
        <f>'Personnel Details'!F8</f>
        <v>10884059.289999999</v>
      </c>
      <c r="E13" s="126"/>
      <c r="F13" s="177">
        <v>0</v>
      </c>
      <c r="G13" s="126"/>
      <c r="H13" s="408">
        <v>0</v>
      </c>
    </row>
    <row r="14" spans="1:8" ht="11.1" customHeight="1" x14ac:dyDescent="0.25">
      <c r="A14" s="126">
        <v>9</v>
      </c>
      <c r="B14" s="589" t="s">
        <v>1130</v>
      </c>
      <c r="C14" s="126">
        <v>8</v>
      </c>
      <c r="D14" s="129">
        <f>'Personnel Details'!F9</f>
        <v>6823699.6100000003</v>
      </c>
      <c r="E14" s="126"/>
      <c r="F14" s="177">
        <v>0</v>
      </c>
      <c r="G14" s="126"/>
      <c r="H14" s="408">
        <v>0</v>
      </c>
    </row>
    <row r="15" spans="1:8" ht="11.1" customHeight="1" x14ac:dyDescent="0.25">
      <c r="A15" s="126">
        <v>10</v>
      </c>
      <c r="B15" s="590" t="s">
        <v>1132</v>
      </c>
      <c r="C15" s="126">
        <v>8</v>
      </c>
      <c r="D15" s="129">
        <f>'Personnel Details'!F10</f>
        <v>952036.94</v>
      </c>
      <c r="E15" s="126"/>
      <c r="F15" s="177">
        <v>0</v>
      </c>
      <c r="G15" s="126"/>
      <c r="H15" s="408">
        <v>0</v>
      </c>
    </row>
    <row r="16" spans="1:8" ht="11.1" customHeight="1" x14ac:dyDescent="0.25">
      <c r="A16" s="126">
        <v>11</v>
      </c>
      <c r="B16" s="591" t="s">
        <v>1133</v>
      </c>
      <c r="C16" s="126">
        <v>8</v>
      </c>
      <c r="D16" s="129">
        <f>'Personnel Details'!F11</f>
        <v>8006636.2699999996</v>
      </c>
      <c r="E16" s="126"/>
      <c r="F16" s="177">
        <v>0</v>
      </c>
      <c r="G16" s="126"/>
      <c r="H16" s="408">
        <v>0</v>
      </c>
    </row>
    <row r="17" spans="1:8" ht="11.1" customHeight="1" x14ac:dyDescent="0.25">
      <c r="A17" s="126">
        <v>12</v>
      </c>
      <c r="B17" s="592" t="s">
        <v>1131</v>
      </c>
      <c r="C17" s="126">
        <v>8</v>
      </c>
      <c r="D17" s="129">
        <f>'Personnel Details'!F12</f>
        <v>9082109.7400000002</v>
      </c>
      <c r="E17" s="126">
        <v>22</v>
      </c>
      <c r="F17" s="177">
        <f>'Details SP'!G400</f>
        <v>5000000</v>
      </c>
      <c r="G17" s="126"/>
      <c r="H17" s="408">
        <v>0</v>
      </c>
    </row>
    <row r="18" spans="1:8" ht="11.1" customHeight="1" x14ac:dyDescent="0.25">
      <c r="A18" s="126">
        <v>13</v>
      </c>
      <c r="B18" s="593" t="s">
        <v>1121</v>
      </c>
      <c r="C18" s="126">
        <v>8</v>
      </c>
      <c r="D18" s="129">
        <f>'Personnel Details'!F13</f>
        <v>3101648.75</v>
      </c>
      <c r="E18" s="126"/>
      <c r="F18" s="177">
        <v>0</v>
      </c>
      <c r="G18" s="126"/>
      <c r="H18" s="408">
        <v>0</v>
      </c>
    </row>
    <row r="19" spans="1:8" ht="11.1" customHeight="1" x14ac:dyDescent="0.25">
      <c r="A19" s="126">
        <v>14</v>
      </c>
      <c r="B19" s="588" t="s">
        <v>238</v>
      </c>
      <c r="C19" s="126"/>
      <c r="D19" s="130">
        <v>0</v>
      </c>
      <c r="E19" s="126" t="s">
        <v>1488</v>
      </c>
      <c r="F19" s="177">
        <f>'Details SP'!G446</f>
        <v>2281000000</v>
      </c>
      <c r="G19" s="126"/>
      <c r="H19" s="409">
        <v>0</v>
      </c>
    </row>
    <row r="20" spans="1:8" ht="11.1" customHeight="1" x14ac:dyDescent="0.25">
      <c r="A20" s="126">
        <v>15</v>
      </c>
      <c r="B20" s="48" t="s">
        <v>717</v>
      </c>
      <c r="C20" s="322"/>
      <c r="D20" s="130">
        <v>0</v>
      </c>
      <c r="E20" s="126">
        <v>25</v>
      </c>
      <c r="F20" s="249">
        <f>'Details SP'!G476</f>
        <v>45000000</v>
      </c>
      <c r="G20" s="126"/>
      <c r="H20" s="409">
        <v>0</v>
      </c>
    </row>
    <row r="21" spans="1:8" ht="11.1" customHeight="1" x14ac:dyDescent="0.25">
      <c r="A21" s="126">
        <v>16</v>
      </c>
      <c r="B21" s="48" t="s">
        <v>710</v>
      </c>
      <c r="C21" s="322"/>
      <c r="D21" s="130">
        <v>0</v>
      </c>
      <c r="E21" s="126">
        <v>26</v>
      </c>
      <c r="F21" s="249">
        <f>'Details SP'!G514</f>
        <v>25000000</v>
      </c>
      <c r="G21" s="126"/>
      <c r="H21" s="409">
        <v>0</v>
      </c>
    </row>
    <row r="22" spans="1:8" ht="11.1" customHeight="1" x14ac:dyDescent="0.25">
      <c r="A22" s="126">
        <v>17</v>
      </c>
      <c r="B22" s="48" t="s">
        <v>1411</v>
      </c>
      <c r="C22" s="322">
        <v>8</v>
      </c>
      <c r="D22" s="130">
        <f>'Personnel Details'!F14</f>
        <v>39700000</v>
      </c>
      <c r="E22" s="126"/>
      <c r="F22" s="249">
        <v>0</v>
      </c>
      <c r="G22" s="126"/>
      <c r="H22" s="409">
        <v>0</v>
      </c>
    </row>
    <row r="23" spans="1:8" ht="12" customHeight="1" x14ac:dyDescent="0.25">
      <c r="A23" s="126">
        <v>18</v>
      </c>
      <c r="B23" s="48" t="s">
        <v>1074</v>
      </c>
      <c r="C23" s="322"/>
      <c r="D23" s="130">
        <v>0</v>
      </c>
      <c r="E23" s="126">
        <v>27</v>
      </c>
      <c r="F23" s="249">
        <f>'Details SP'!G537</f>
        <v>7000000</v>
      </c>
      <c r="G23" s="126"/>
      <c r="H23" s="409">
        <v>0</v>
      </c>
    </row>
    <row r="24" spans="1:8" ht="11.1" customHeight="1" x14ac:dyDescent="0.25">
      <c r="A24" s="126">
        <v>19</v>
      </c>
      <c r="B24" s="188" t="s">
        <v>722</v>
      </c>
      <c r="C24" s="126"/>
      <c r="D24" s="407">
        <v>0</v>
      </c>
      <c r="E24" s="126">
        <v>29</v>
      </c>
      <c r="F24" s="406">
        <f>'Details SP'!G603</f>
        <v>11000000</v>
      </c>
      <c r="G24" s="126"/>
      <c r="H24" s="409">
        <v>0</v>
      </c>
    </row>
    <row r="25" spans="1:8" ht="12" customHeight="1" x14ac:dyDescent="0.25">
      <c r="A25" s="126">
        <v>20</v>
      </c>
      <c r="B25" s="188" t="s">
        <v>1139</v>
      </c>
      <c r="C25" s="126"/>
      <c r="D25" s="407">
        <v>0</v>
      </c>
      <c r="E25" s="126"/>
      <c r="F25" s="409">
        <v>0</v>
      </c>
      <c r="G25" s="565" t="s">
        <v>292</v>
      </c>
      <c r="H25" s="407">
        <f>'Details SP'!G117</f>
        <v>4000000</v>
      </c>
    </row>
    <row r="26" spans="1:8" ht="12" customHeight="1" x14ac:dyDescent="0.25">
      <c r="A26" s="126">
        <v>21</v>
      </c>
      <c r="B26" s="188" t="s">
        <v>1226</v>
      </c>
      <c r="C26" s="126"/>
      <c r="D26" s="407">
        <v>0</v>
      </c>
      <c r="E26" s="126"/>
      <c r="F26" s="409">
        <v>0</v>
      </c>
      <c r="G26" s="565">
        <v>12</v>
      </c>
      <c r="H26" s="407">
        <f>'Details SP'!G84</f>
        <v>4000000</v>
      </c>
    </row>
    <row r="27" spans="1:8" ht="11.1" customHeight="1" x14ac:dyDescent="0.25">
      <c r="A27" s="126">
        <v>22</v>
      </c>
      <c r="B27" s="188" t="s">
        <v>1049</v>
      </c>
      <c r="C27" s="126"/>
      <c r="D27" s="407">
        <v>0</v>
      </c>
      <c r="E27" s="126">
        <v>30</v>
      </c>
      <c r="F27" s="409">
        <v>0</v>
      </c>
      <c r="G27" s="126"/>
      <c r="H27" s="409">
        <v>0</v>
      </c>
    </row>
    <row r="28" spans="1:8" ht="24.75" x14ac:dyDescent="0.25">
      <c r="A28" s="126">
        <v>23</v>
      </c>
      <c r="B28" s="398" t="s">
        <v>943</v>
      </c>
      <c r="C28" s="126">
        <v>8</v>
      </c>
      <c r="D28" s="129">
        <f>'Personnel Details'!F15</f>
        <v>3081153.18</v>
      </c>
      <c r="E28" s="126"/>
      <c r="F28" s="409">
        <v>0</v>
      </c>
      <c r="G28" s="126"/>
      <c r="H28" s="409">
        <v>0</v>
      </c>
    </row>
    <row r="29" spans="1:8" ht="12" customHeight="1" x14ac:dyDescent="0.25">
      <c r="A29" s="126">
        <v>24</v>
      </c>
      <c r="B29" s="188" t="s">
        <v>974</v>
      </c>
      <c r="C29" s="126"/>
      <c r="D29" s="130">
        <v>0</v>
      </c>
      <c r="E29" s="186"/>
      <c r="F29" s="409">
        <v>0</v>
      </c>
      <c r="G29" s="126">
        <v>15</v>
      </c>
      <c r="H29" s="410">
        <f>'Details SP'!G181</f>
        <v>8885000</v>
      </c>
    </row>
    <row r="30" spans="1:8" ht="11.1" customHeight="1" x14ac:dyDescent="0.25">
      <c r="A30" s="126">
        <v>25</v>
      </c>
      <c r="B30" s="402" t="s">
        <v>1127</v>
      </c>
      <c r="C30" s="126">
        <v>8</v>
      </c>
      <c r="D30" s="407">
        <f>'Personnel Details'!F16</f>
        <v>926396.42</v>
      </c>
      <c r="E30" s="126"/>
      <c r="F30" s="409">
        <v>0</v>
      </c>
      <c r="G30" s="126"/>
      <c r="H30" s="409">
        <v>0</v>
      </c>
    </row>
    <row r="31" spans="1:8" ht="11.1" customHeight="1" x14ac:dyDescent="0.25">
      <c r="A31" s="126">
        <v>26</v>
      </c>
      <c r="B31" s="188" t="s">
        <v>1137</v>
      </c>
      <c r="C31" s="126"/>
      <c r="D31" s="407">
        <v>0</v>
      </c>
      <c r="E31" s="126">
        <v>31</v>
      </c>
      <c r="F31" s="406">
        <f>'Details SP'!G674</f>
        <v>1500000</v>
      </c>
      <c r="G31" s="126"/>
      <c r="H31" s="409">
        <v>0</v>
      </c>
    </row>
    <row r="32" spans="1:8" ht="11.1" customHeight="1" x14ac:dyDescent="0.25">
      <c r="A32" s="126">
        <v>27</v>
      </c>
      <c r="B32" s="188" t="s">
        <v>1125</v>
      </c>
      <c r="C32" s="126">
        <v>8</v>
      </c>
      <c r="D32" s="407">
        <f>'Personnel Details'!F17</f>
        <v>13189625.92</v>
      </c>
      <c r="E32" s="126"/>
      <c r="F32" s="409">
        <v>0</v>
      </c>
      <c r="G32" s="126"/>
      <c r="H32" s="409">
        <v>0</v>
      </c>
    </row>
    <row r="33" spans="1:10" ht="11.1" customHeight="1" x14ac:dyDescent="0.25">
      <c r="A33" s="126">
        <v>28</v>
      </c>
      <c r="B33" s="188" t="s">
        <v>940</v>
      </c>
      <c r="C33" s="126"/>
      <c r="D33" s="407">
        <v>0</v>
      </c>
      <c r="E33" s="126" t="s">
        <v>1489</v>
      </c>
      <c r="F33" s="406">
        <f>'Details SP'!G714</f>
        <v>10850000</v>
      </c>
      <c r="G33" s="126"/>
      <c r="H33" s="409">
        <v>0</v>
      </c>
    </row>
    <row r="34" spans="1:10" ht="11.1" customHeight="1" x14ac:dyDescent="0.25">
      <c r="A34" s="126">
        <v>29</v>
      </c>
      <c r="B34" s="188" t="s">
        <v>1138</v>
      </c>
      <c r="C34" s="126"/>
      <c r="D34" s="407">
        <v>0</v>
      </c>
      <c r="E34" s="126" t="s">
        <v>1490</v>
      </c>
      <c r="F34" s="406">
        <f>'Details SP'!G768</f>
        <v>5250000</v>
      </c>
      <c r="G34" s="126"/>
      <c r="H34" s="409">
        <v>0</v>
      </c>
    </row>
    <row r="35" spans="1:10" ht="11.1" customHeight="1" x14ac:dyDescent="0.25">
      <c r="A35" s="126">
        <v>30</v>
      </c>
      <c r="B35" s="188" t="s">
        <v>762</v>
      </c>
      <c r="C35" s="126"/>
      <c r="D35" s="130">
        <v>0</v>
      </c>
      <c r="E35" s="126">
        <v>36</v>
      </c>
      <c r="F35" s="177">
        <f>'Details SP'!G821</f>
        <v>42980000</v>
      </c>
      <c r="G35" s="126"/>
      <c r="H35" s="409">
        <v>0</v>
      </c>
    </row>
    <row r="36" spans="1:10" ht="11.1" customHeight="1" x14ac:dyDescent="0.25">
      <c r="A36" s="126">
        <v>31</v>
      </c>
      <c r="B36" s="397" t="s">
        <v>1122</v>
      </c>
      <c r="C36" s="126">
        <v>8</v>
      </c>
      <c r="D36" s="130">
        <f>'Personnel Details'!F18</f>
        <v>2315147.9</v>
      </c>
      <c r="E36" s="126"/>
      <c r="F36" s="177">
        <v>0</v>
      </c>
      <c r="G36" s="126"/>
      <c r="H36" s="409">
        <v>0</v>
      </c>
    </row>
    <row r="37" spans="1:10" ht="11.1" customHeight="1" x14ac:dyDescent="0.25">
      <c r="A37" s="126">
        <v>32</v>
      </c>
      <c r="B37" s="188" t="s">
        <v>996</v>
      </c>
      <c r="C37" s="126"/>
      <c r="D37" s="130">
        <v>0</v>
      </c>
      <c r="E37" s="186"/>
      <c r="F37" s="409">
        <v>0</v>
      </c>
      <c r="G37" s="126">
        <v>14</v>
      </c>
      <c r="H37" s="411">
        <f>'Details SP'!G149</f>
        <v>4000000</v>
      </c>
    </row>
    <row r="38" spans="1:10" ht="11.1" customHeight="1" x14ac:dyDescent="0.25">
      <c r="A38" s="126">
        <v>33</v>
      </c>
      <c r="B38" s="401" t="s">
        <v>1124</v>
      </c>
      <c r="C38" s="126">
        <v>8</v>
      </c>
      <c r="D38" s="249">
        <f>'Personnel Details'!F19</f>
        <v>16147061.25</v>
      </c>
      <c r="E38" s="28"/>
      <c r="F38" s="409">
        <v>0</v>
      </c>
      <c r="G38" s="322"/>
      <c r="H38" s="409">
        <v>0</v>
      </c>
    </row>
    <row r="39" spans="1:10" ht="11.1" customHeight="1" x14ac:dyDescent="0.25">
      <c r="A39" s="126">
        <v>34</v>
      </c>
      <c r="B39" s="397" t="s">
        <v>1123</v>
      </c>
      <c r="C39" s="126">
        <v>8</v>
      </c>
      <c r="D39" s="249">
        <f>'Personnel Details'!F20</f>
        <v>41524445.469999999</v>
      </c>
      <c r="E39" s="28"/>
      <c r="F39" s="409">
        <v>0</v>
      </c>
      <c r="G39" s="322"/>
      <c r="H39" s="409">
        <v>0</v>
      </c>
    </row>
    <row r="40" spans="1:10" ht="11.1" customHeight="1" x14ac:dyDescent="0.25">
      <c r="A40" s="126">
        <v>35</v>
      </c>
      <c r="B40" s="401" t="s">
        <v>1126</v>
      </c>
      <c r="C40" s="126">
        <v>8</v>
      </c>
      <c r="D40" s="249">
        <f>'Personnel Details'!F21</f>
        <v>9447058.75</v>
      </c>
      <c r="E40" s="28"/>
      <c r="F40" s="409">
        <v>0</v>
      </c>
      <c r="G40" s="322"/>
      <c r="H40" s="409">
        <v>0</v>
      </c>
    </row>
    <row r="41" spans="1:10" ht="11.1" customHeight="1" x14ac:dyDescent="0.25">
      <c r="A41" s="126">
        <v>36</v>
      </c>
      <c r="B41" s="188" t="s">
        <v>1117</v>
      </c>
      <c r="C41" s="126"/>
      <c r="D41" s="130">
        <v>0</v>
      </c>
      <c r="E41" s="126">
        <v>38</v>
      </c>
      <c r="F41" s="409">
        <f>'Details SP'!G884</f>
        <v>17508000</v>
      </c>
      <c r="G41" s="126"/>
      <c r="H41" s="409">
        <v>0</v>
      </c>
    </row>
    <row r="42" spans="1:10" ht="11.1" customHeight="1" x14ac:dyDescent="0.25">
      <c r="A42" s="126">
        <v>37</v>
      </c>
      <c r="B42" s="188" t="s">
        <v>1491</v>
      </c>
      <c r="C42" s="126"/>
      <c r="D42" s="130"/>
      <c r="E42" s="126" t="s">
        <v>1492</v>
      </c>
      <c r="F42" s="409">
        <f>Grants!I23</f>
        <v>280000000</v>
      </c>
      <c r="G42" s="126"/>
      <c r="H42" s="409"/>
    </row>
    <row r="43" spans="1:10" ht="11.1" customHeight="1" x14ac:dyDescent="0.25">
      <c r="A43" s="126"/>
      <c r="B43" s="189" t="s">
        <v>3</v>
      </c>
      <c r="C43" s="86"/>
      <c r="D43" s="356">
        <f>SUM(D6:D41)</f>
        <v>181688000</v>
      </c>
      <c r="E43" s="356"/>
      <c r="F43" s="356">
        <f>SUM(F6:F42)</f>
        <v>2988508000</v>
      </c>
      <c r="G43" s="48"/>
      <c r="H43" s="356">
        <f>SUM(H6:H41)</f>
        <v>26385000</v>
      </c>
      <c r="I43" s="4"/>
      <c r="J43" s="6"/>
    </row>
    <row r="44" spans="1:10" ht="12" customHeight="1" x14ac:dyDescent="0.25">
      <c r="A44" s="48"/>
      <c r="B44" s="189" t="s">
        <v>4</v>
      </c>
      <c r="C44" s="86"/>
      <c r="D44" s="190"/>
      <c r="E44" s="190"/>
      <c r="F44" s="190">
        <f>D43+F43+H43</f>
        <v>3196581000</v>
      </c>
      <c r="G44" s="191"/>
      <c r="H44" s="192"/>
      <c r="I44" s="3"/>
    </row>
    <row r="45" spans="1:10" ht="18.75" x14ac:dyDescent="0.3">
      <c r="A45" s="1"/>
      <c r="B45" s="1"/>
      <c r="C45" s="1"/>
      <c r="D45" s="1"/>
      <c r="E45" s="1"/>
      <c r="F45" s="1"/>
      <c r="G45" s="1"/>
      <c r="H45" s="2"/>
    </row>
    <row r="46" spans="1:10" ht="18.75" x14ac:dyDescent="0.3">
      <c r="A46" s="1"/>
      <c r="B46" s="1"/>
      <c r="C46" s="1"/>
      <c r="D46" s="1"/>
      <c r="E46" s="1"/>
      <c r="F46" s="203"/>
      <c r="G46" s="2"/>
      <c r="H46" s="2"/>
    </row>
    <row r="47" spans="1:10" ht="18.75" x14ac:dyDescent="0.3">
      <c r="A47" s="1"/>
      <c r="B47" s="1"/>
      <c r="C47" s="1"/>
      <c r="D47" s="1"/>
      <c r="E47" s="1"/>
      <c r="F47" s="1"/>
      <c r="G47" s="1"/>
      <c r="H47" s="2"/>
    </row>
    <row r="48" spans="1:10" ht="18.75" x14ac:dyDescent="0.3">
      <c r="A48" s="1"/>
      <c r="B48" s="1"/>
      <c r="C48" s="1"/>
      <c r="D48" s="1"/>
      <c r="E48" s="1"/>
      <c r="F48" s="1"/>
      <c r="G48" s="1"/>
      <c r="H48" s="2"/>
    </row>
    <row r="49" spans="1:8" ht="18.75" x14ac:dyDescent="0.3">
      <c r="A49" s="1"/>
      <c r="B49" s="1"/>
      <c r="C49" s="1"/>
      <c r="D49" s="1"/>
      <c r="E49" s="1"/>
      <c r="F49" s="1"/>
      <c r="G49" s="1"/>
      <c r="H49" s="1"/>
    </row>
  </sheetData>
  <mergeCells count="3">
    <mergeCell ref="A1:H1"/>
    <mergeCell ref="A2:H2"/>
    <mergeCell ref="A3:H3"/>
  </mergeCells>
  <pageMargins left="0.7" right="0.7" top="0.75" bottom="0.65" header="0.3" footer="0.3"/>
  <pageSetup firstPageNumber="5" orientation="landscape" useFirstPageNumber="1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workbookViewId="0">
      <selection activeCell="E24" sqref="E24"/>
    </sheetView>
  </sheetViews>
  <sheetFormatPr defaultRowHeight="15" x14ac:dyDescent="0.25"/>
  <cols>
    <col min="1" max="1" width="5" customWidth="1"/>
    <col min="2" max="2" width="59.28515625" customWidth="1"/>
    <col min="3" max="3" width="12.28515625" customWidth="1"/>
    <col min="4" max="4" width="26.28515625" customWidth="1"/>
    <col min="5" max="5" width="15.28515625" bestFit="1" customWidth="1"/>
    <col min="6" max="6" width="24.7109375" customWidth="1"/>
  </cols>
  <sheetData>
    <row r="1" spans="1:4" ht="16.5" x14ac:dyDescent="0.25">
      <c r="A1" s="673" t="s">
        <v>7</v>
      </c>
      <c r="B1" s="674"/>
      <c r="C1" s="674"/>
      <c r="D1" s="674"/>
    </row>
    <row r="2" spans="1:4" ht="16.5" x14ac:dyDescent="0.25">
      <c r="A2" s="673" t="s">
        <v>1479</v>
      </c>
      <c r="B2" s="674"/>
      <c r="C2" s="674"/>
      <c r="D2" s="674"/>
    </row>
    <row r="3" spans="1:4" ht="15" customHeight="1" x14ac:dyDescent="0.25">
      <c r="A3" s="673" t="s">
        <v>1011</v>
      </c>
      <c r="B3" s="673"/>
      <c r="C3" s="673"/>
      <c r="D3" s="673"/>
    </row>
    <row r="4" spans="1:4" ht="16.5" x14ac:dyDescent="0.25">
      <c r="A4" s="57"/>
      <c r="B4" s="69" t="s">
        <v>6</v>
      </c>
      <c r="C4" s="57"/>
      <c r="D4" s="57"/>
    </row>
    <row r="5" spans="1:4" ht="15.95" customHeight="1" x14ac:dyDescent="0.25">
      <c r="A5" s="73" t="s">
        <v>0</v>
      </c>
      <c r="B5" s="73" t="s">
        <v>1</v>
      </c>
      <c r="C5" s="73" t="s">
        <v>2</v>
      </c>
      <c r="D5" s="97" t="s">
        <v>995</v>
      </c>
    </row>
    <row r="6" spans="1:4" ht="15.95" customHeight="1" x14ac:dyDescent="0.25">
      <c r="A6" s="59">
        <v>1</v>
      </c>
      <c r="B6" s="201" t="s">
        <v>260</v>
      </c>
      <c r="C6" s="135">
        <v>44</v>
      </c>
      <c r="D6" s="200">
        <f>'Project detail capital'!F8</f>
        <v>23000000</v>
      </c>
    </row>
    <row r="7" spans="1:4" ht="15.95" customHeight="1" x14ac:dyDescent="0.25">
      <c r="A7" s="59">
        <v>2</v>
      </c>
      <c r="B7" s="116" t="s">
        <v>707</v>
      </c>
      <c r="C7" s="135">
        <v>44</v>
      </c>
      <c r="D7" s="117">
        <f>'Project detail capital'!F13</f>
        <v>1140000000</v>
      </c>
    </row>
    <row r="8" spans="1:4" ht="15.95" customHeight="1" x14ac:dyDescent="0.25">
      <c r="A8" s="59">
        <v>3</v>
      </c>
      <c r="B8" s="116" t="s">
        <v>790</v>
      </c>
      <c r="C8" s="135">
        <v>44</v>
      </c>
      <c r="D8" s="117">
        <f>'Project detail capital'!F17</f>
        <v>40000000</v>
      </c>
    </row>
    <row r="9" spans="1:4" ht="15.95" customHeight="1" x14ac:dyDescent="0.25">
      <c r="A9" s="59">
        <v>5</v>
      </c>
      <c r="B9" s="354" t="s">
        <v>994</v>
      </c>
      <c r="C9" s="135">
        <v>44</v>
      </c>
      <c r="D9" s="117">
        <f>'Project detail capital'!F22</f>
        <v>200000000</v>
      </c>
    </row>
    <row r="10" spans="1:4" ht="15.95" customHeight="1" x14ac:dyDescent="0.25">
      <c r="A10" s="59">
        <v>6</v>
      </c>
      <c r="B10" s="355" t="s">
        <v>237</v>
      </c>
      <c r="C10" s="135">
        <v>44</v>
      </c>
      <c r="D10" s="117">
        <f>'Project detail capital'!F26</f>
        <v>7500000</v>
      </c>
    </row>
    <row r="11" spans="1:4" ht="15.95" customHeight="1" x14ac:dyDescent="0.25">
      <c r="A11" s="59">
        <v>16</v>
      </c>
      <c r="B11" s="146" t="s">
        <v>948</v>
      </c>
      <c r="C11" s="135">
        <v>45</v>
      </c>
      <c r="D11" s="117">
        <f>'Project detail capital'!F30</f>
        <v>3000000</v>
      </c>
    </row>
    <row r="12" spans="1:4" ht="15.95" customHeight="1" x14ac:dyDescent="0.25">
      <c r="A12" s="59">
        <v>17</v>
      </c>
      <c r="B12" s="146" t="s">
        <v>941</v>
      </c>
      <c r="C12" s="135">
        <v>45</v>
      </c>
      <c r="D12" s="117">
        <f>'Project detail capital'!F35</f>
        <v>11000000</v>
      </c>
    </row>
    <row r="13" spans="1:4" ht="15.95" customHeight="1" x14ac:dyDescent="0.25">
      <c r="A13" s="59">
        <v>7</v>
      </c>
      <c r="B13" s="146" t="s">
        <v>238</v>
      </c>
      <c r="C13" s="135">
        <v>45</v>
      </c>
      <c r="D13" s="117">
        <f>'Project detail capital'!F40</f>
        <v>2005000000</v>
      </c>
    </row>
    <row r="14" spans="1:4" ht="15.95" customHeight="1" x14ac:dyDescent="0.25">
      <c r="A14" s="59">
        <v>8</v>
      </c>
      <c r="B14" s="146" t="s">
        <v>710</v>
      </c>
      <c r="C14" s="135">
        <v>45</v>
      </c>
      <c r="D14" s="117">
        <f>'Project detail capital'!F47</f>
        <v>125000000</v>
      </c>
    </row>
    <row r="15" spans="1:4" ht="15.95" customHeight="1" x14ac:dyDescent="0.25">
      <c r="A15" s="59">
        <v>9</v>
      </c>
      <c r="B15" s="146" t="s">
        <v>708</v>
      </c>
      <c r="C15" s="135">
        <v>45</v>
      </c>
      <c r="D15" s="117">
        <f>'Project detail capital'!F53</f>
        <v>610500000</v>
      </c>
    </row>
    <row r="16" spans="1:4" ht="15.95" customHeight="1" x14ac:dyDescent="0.25">
      <c r="A16" s="59">
        <v>4</v>
      </c>
      <c r="B16" s="116" t="s">
        <v>1053</v>
      </c>
      <c r="C16" s="135">
        <v>46</v>
      </c>
      <c r="D16" s="117">
        <f>'Project detail capital'!F57</f>
        <v>5000000</v>
      </c>
    </row>
    <row r="17" spans="1:6" ht="15.95" customHeight="1" x14ac:dyDescent="0.25">
      <c r="A17" s="59">
        <v>10</v>
      </c>
      <c r="B17" s="146" t="s">
        <v>947</v>
      </c>
      <c r="C17" s="135">
        <v>46</v>
      </c>
      <c r="D17" s="117">
        <f>'Project detail capital'!F63</f>
        <v>43000000</v>
      </c>
    </row>
    <row r="18" spans="1:6" ht="15.95" customHeight="1" x14ac:dyDescent="0.25">
      <c r="A18" s="59">
        <v>11</v>
      </c>
      <c r="B18" s="146" t="s">
        <v>722</v>
      </c>
      <c r="C18" s="135">
        <v>46</v>
      </c>
      <c r="D18" s="117">
        <f>'Project detail capital'!F68</f>
        <v>25600000</v>
      </c>
    </row>
    <row r="19" spans="1:6" ht="15.95" customHeight="1" x14ac:dyDescent="0.25">
      <c r="A19" s="59">
        <v>12</v>
      </c>
      <c r="B19" s="146" t="s">
        <v>1229</v>
      </c>
      <c r="C19" s="135">
        <v>46</v>
      </c>
      <c r="D19" s="117">
        <f>'Project detail capital'!F73</f>
        <v>2596000000</v>
      </c>
    </row>
    <row r="20" spans="1:6" ht="15.95" customHeight="1" x14ac:dyDescent="0.25">
      <c r="A20" s="59">
        <v>15</v>
      </c>
      <c r="B20" s="146" t="s">
        <v>1049</v>
      </c>
      <c r="C20" s="135">
        <v>46</v>
      </c>
      <c r="D20" s="117">
        <f>'Project detail capital'!F78</f>
        <v>4000000</v>
      </c>
    </row>
    <row r="21" spans="1:6" ht="15.95" customHeight="1" x14ac:dyDescent="0.25">
      <c r="A21" s="59">
        <v>13</v>
      </c>
      <c r="B21" s="146" t="s">
        <v>1014</v>
      </c>
      <c r="C21" s="135">
        <v>47</v>
      </c>
      <c r="D21" s="117">
        <f>'Project detail capital'!F82</f>
        <v>6000000</v>
      </c>
    </row>
    <row r="22" spans="1:6" ht="15.95" customHeight="1" x14ac:dyDescent="0.25">
      <c r="A22" s="59">
        <v>14</v>
      </c>
      <c r="B22" s="146" t="s">
        <v>1232</v>
      </c>
      <c r="C22" s="135" t="s">
        <v>1493</v>
      </c>
      <c r="D22" s="117">
        <f>'Project detail capital'!F108</f>
        <v>517056000</v>
      </c>
    </row>
    <row r="23" spans="1:6" ht="14.1" customHeight="1" x14ac:dyDescent="0.25">
      <c r="A23" s="59">
        <v>18</v>
      </c>
      <c r="B23" s="146" t="s">
        <v>942</v>
      </c>
      <c r="C23" s="135">
        <v>48</v>
      </c>
      <c r="D23" s="117">
        <f>'Project detail capital'!F114</f>
        <v>202500000</v>
      </c>
    </row>
    <row r="24" spans="1:6" ht="14.1" customHeight="1" x14ac:dyDescent="0.25">
      <c r="A24" s="59">
        <v>19</v>
      </c>
      <c r="B24" s="342" t="s">
        <v>943</v>
      </c>
      <c r="C24" s="135">
        <v>48</v>
      </c>
      <c r="D24" s="117">
        <f>'Project detail capital'!F118</f>
        <v>15000000</v>
      </c>
    </row>
    <row r="25" spans="1:6" ht="14.1" customHeight="1" x14ac:dyDescent="0.25">
      <c r="A25" s="59">
        <v>20</v>
      </c>
      <c r="B25" s="146" t="s">
        <v>709</v>
      </c>
      <c r="C25" s="135">
        <v>48</v>
      </c>
      <c r="D25" s="117">
        <f>'Project detail capital'!F121</f>
        <v>1800000000</v>
      </c>
    </row>
    <row r="26" spans="1:6" ht="14.1" customHeight="1" x14ac:dyDescent="0.25">
      <c r="A26" s="59">
        <v>21</v>
      </c>
      <c r="B26" s="146" t="s">
        <v>944</v>
      </c>
      <c r="C26" s="135" t="s">
        <v>1494</v>
      </c>
      <c r="D26" s="117">
        <f>'Project detail capital'!F125</f>
        <v>3000000</v>
      </c>
    </row>
    <row r="27" spans="1:6" ht="14.1" customHeight="1" x14ac:dyDescent="0.25">
      <c r="A27" s="59">
        <v>22</v>
      </c>
      <c r="B27" s="146" t="s">
        <v>266</v>
      </c>
      <c r="C27" s="135">
        <v>49</v>
      </c>
      <c r="D27" s="117">
        <f>'Project detail capital'!F131</f>
        <v>320689000</v>
      </c>
    </row>
    <row r="28" spans="1:6" ht="14.1" customHeight="1" x14ac:dyDescent="0.25">
      <c r="A28" s="59">
        <v>23</v>
      </c>
      <c r="B28" s="146" t="s">
        <v>762</v>
      </c>
      <c r="C28" s="135">
        <v>49</v>
      </c>
      <c r="D28" s="117">
        <f>'Project detail capital'!F136</f>
        <v>30300000</v>
      </c>
    </row>
    <row r="29" spans="1:6" ht="14.1" customHeight="1" x14ac:dyDescent="0.25">
      <c r="A29" s="59">
        <v>24</v>
      </c>
      <c r="B29" s="146" t="s">
        <v>1438</v>
      </c>
      <c r="C29" s="135">
        <v>49</v>
      </c>
      <c r="D29" s="117">
        <f>'Project detail capital'!F140</f>
        <v>140000000</v>
      </c>
    </row>
    <row r="30" spans="1:6" ht="14.1" customHeight="1" x14ac:dyDescent="0.25">
      <c r="A30" s="59">
        <v>25</v>
      </c>
      <c r="B30" s="146" t="s">
        <v>945</v>
      </c>
      <c r="C30" s="135">
        <v>49</v>
      </c>
      <c r="D30" s="117">
        <f>'Project detail capital'!F147</f>
        <v>81000000</v>
      </c>
    </row>
    <row r="31" spans="1:6" ht="14.1" customHeight="1" x14ac:dyDescent="0.25">
      <c r="A31" s="59">
        <v>26</v>
      </c>
      <c r="B31" s="146" t="s">
        <v>946</v>
      </c>
      <c r="C31" s="135" t="s">
        <v>1495</v>
      </c>
      <c r="D31" s="117">
        <f>'Project detail capital'!F151</f>
        <v>22000000</v>
      </c>
    </row>
    <row r="32" spans="1:6" ht="15.95" customHeight="1" x14ac:dyDescent="0.25">
      <c r="A32" s="72"/>
      <c r="B32" s="496" t="s">
        <v>38</v>
      </c>
      <c r="C32" s="70"/>
      <c r="D32" s="118">
        <f>SUM(D6:D31)</f>
        <v>9976145000</v>
      </c>
      <c r="E32" s="4"/>
      <c r="F32" s="5"/>
    </row>
    <row r="33" spans="1:4" ht="18.75" x14ac:dyDescent="0.3">
      <c r="A33" s="119"/>
      <c r="B33" s="119">
        <v>6</v>
      </c>
      <c r="C33" s="119"/>
      <c r="D33" s="119"/>
    </row>
    <row r="34" spans="1:4" ht="18.75" x14ac:dyDescent="0.3">
      <c r="A34" s="119"/>
      <c r="B34" s="119"/>
      <c r="C34" s="140"/>
      <c r="D34" s="545"/>
    </row>
    <row r="35" spans="1:4" ht="18.75" x14ac:dyDescent="0.3">
      <c r="A35" s="119"/>
      <c r="B35" s="119"/>
      <c r="C35" s="119"/>
      <c r="D35" s="119"/>
    </row>
    <row r="36" spans="1:4" ht="18.75" x14ac:dyDescent="0.3">
      <c r="A36" s="1"/>
      <c r="B36" s="1"/>
      <c r="C36" s="1"/>
      <c r="D36" s="1"/>
    </row>
    <row r="37" spans="1:4" ht="18.75" x14ac:dyDescent="0.3">
      <c r="A37" s="1"/>
      <c r="B37" s="1"/>
      <c r="C37" s="1"/>
      <c r="D37" s="1"/>
    </row>
  </sheetData>
  <sortState ref="B6:D18">
    <sortCondition ref="C6:C18"/>
  </sortState>
  <mergeCells count="3">
    <mergeCell ref="A2:D2"/>
    <mergeCell ref="A1:D1"/>
    <mergeCell ref="A3:D3"/>
  </mergeCells>
  <pageMargins left="1.7" right="0.5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>
      <selection activeCell="A3" sqref="A3:I3"/>
    </sheetView>
  </sheetViews>
  <sheetFormatPr defaultRowHeight="15" x14ac:dyDescent="0.25"/>
  <cols>
    <col min="1" max="1" width="4" customWidth="1"/>
    <col min="2" max="2" width="23" customWidth="1"/>
    <col min="3" max="3" width="6.28515625" style="27" customWidth="1"/>
    <col min="4" max="4" width="10.85546875" style="27" customWidth="1"/>
    <col min="5" max="5" width="25" customWidth="1"/>
    <col min="6" max="6" width="17.42578125" customWidth="1"/>
    <col min="7" max="7" width="15.5703125" customWidth="1"/>
    <col min="8" max="8" width="15.7109375" customWidth="1"/>
    <col min="9" max="9" width="15.5703125" customWidth="1"/>
    <col min="10" max="10" width="15" bestFit="1" customWidth="1"/>
    <col min="13" max="13" width="10" bestFit="1" customWidth="1"/>
  </cols>
  <sheetData>
    <row r="1" spans="1:9" x14ac:dyDescent="0.25">
      <c r="A1" s="660" t="s">
        <v>7</v>
      </c>
      <c r="B1" s="660"/>
      <c r="C1" s="660"/>
      <c r="D1" s="660"/>
      <c r="E1" s="660"/>
      <c r="F1" s="660"/>
      <c r="G1" s="660"/>
      <c r="H1" s="660"/>
      <c r="I1" s="660"/>
    </row>
    <row r="2" spans="1:9" x14ac:dyDescent="0.25">
      <c r="A2" s="660" t="s">
        <v>1480</v>
      </c>
      <c r="B2" s="661"/>
      <c r="C2" s="661"/>
      <c r="D2" s="661"/>
      <c r="E2" s="661"/>
      <c r="F2" s="661"/>
      <c r="G2" s="661"/>
      <c r="H2" s="661"/>
      <c r="I2" s="661"/>
    </row>
    <row r="3" spans="1:9" x14ac:dyDescent="0.25">
      <c r="A3" s="660" t="s">
        <v>218</v>
      </c>
      <c r="B3" s="660"/>
      <c r="C3" s="660"/>
      <c r="D3" s="660"/>
      <c r="E3" s="660"/>
      <c r="F3" s="660"/>
      <c r="G3" s="660"/>
      <c r="H3" s="660"/>
      <c r="I3" s="660"/>
    </row>
    <row r="4" spans="1:9" x14ac:dyDescent="0.25">
      <c r="A4" s="57"/>
      <c r="B4" s="47"/>
      <c r="C4" s="47"/>
      <c r="D4" s="47"/>
      <c r="E4" s="47"/>
      <c r="F4" s="47"/>
      <c r="G4" s="47"/>
      <c r="H4" s="57"/>
      <c r="I4" s="57"/>
    </row>
    <row r="5" spans="1:9" x14ac:dyDescent="0.25">
      <c r="A5" s="675" t="s">
        <v>138</v>
      </c>
      <c r="B5" s="675"/>
      <c r="C5" s="675"/>
      <c r="D5" s="675"/>
      <c r="E5" s="675"/>
      <c r="F5" s="675"/>
      <c r="G5" s="675"/>
      <c r="H5" s="675"/>
      <c r="I5" s="675"/>
    </row>
    <row r="6" spans="1:9" s="27" customFormat="1" ht="26.1" customHeight="1" x14ac:dyDescent="0.2">
      <c r="A6" s="64" t="s">
        <v>0</v>
      </c>
      <c r="B6" s="64" t="s">
        <v>141</v>
      </c>
      <c r="C6" s="64" t="s">
        <v>2</v>
      </c>
      <c r="D6" s="63" t="s">
        <v>17</v>
      </c>
      <c r="E6" s="64" t="s">
        <v>28</v>
      </c>
      <c r="F6" s="63" t="s">
        <v>540</v>
      </c>
      <c r="G6" s="63" t="s">
        <v>197</v>
      </c>
      <c r="H6" s="63" t="s">
        <v>29</v>
      </c>
      <c r="I6" s="63" t="s">
        <v>1481</v>
      </c>
    </row>
    <row r="7" spans="1:9" s="29" customFormat="1" ht="18" customHeight="1" x14ac:dyDescent="0.25">
      <c r="A7" s="101">
        <v>1</v>
      </c>
      <c r="B7" s="392" t="s">
        <v>722</v>
      </c>
      <c r="C7" s="100"/>
      <c r="D7" s="120"/>
      <c r="E7" s="479" t="s">
        <v>11</v>
      </c>
      <c r="F7" s="43">
        <v>609486330.15999997</v>
      </c>
      <c r="G7" s="43">
        <v>318568526.52999997</v>
      </c>
      <c r="H7" s="393">
        <v>60000000</v>
      </c>
      <c r="I7" s="393">
        <f>F7-H7</f>
        <v>549486330.15999997</v>
      </c>
    </row>
    <row r="8" spans="1:9" s="29" customFormat="1" ht="27" customHeight="1" x14ac:dyDescent="0.25">
      <c r="A8" s="101">
        <v>2</v>
      </c>
      <c r="B8" s="395" t="s">
        <v>708</v>
      </c>
      <c r="C8" s="100"/>
      <c r="D8" s="120"/>
      <c r="E8" s="479" t="s">
        <v>11</v>
      </c>
      <c r="F8" s="478">
        <v>271457005.01999998</v>
      </c>
      <c r="G8" s="180">
        <v>122856308.02</v>
      </c>
      <c r="H8" s="393">
        <v>60000000</v>
      </c>
      <c r="I8" s="393">
        <f t="shared" ref="I8:I14" si="0">F8-H8</f>
        <v>211457005.01999998</v>
      </c>
    </row>
    <row r="9" spans="1:9" s="29" customFormat="1" x14ac:dyDescent="0.25">
      <c r="A9" s="101">
        <v>3</v>
      </c>
      <c r="B9" s="396" t="s">
        <v>1118</v>
      </c>
      <c r="C9" s="100"/>
      <c r="D9" s="120"/>
      <c r="E9" s="479" t="s">
        <v>11</v>
      </c>
      <c r="F9" s="478">
        <v>512057493.42000002</v>
      </c>
      <c r="G9" s="180">
        <v>245729342.72</v>
      </c>
      <c r="H9" s="393">
        <v>90000000</v>
      </c>
      <c r="I9" s="393">
        <f t="shared" si="0"/>
        <v>422057493.42000002</v>
      </c>
    </row>
    <row r="10" spans="1:9" s="29" customFormat="1" ht="24" x14ac:dyDescent="0.25">
      <c r="A10" s="101">
        <v>4</v>
      </c>
      <c r="B10" s="397" t="s">
        <v>266</v>
      </c>
      <c r="C10" s="100"/>
      <c r="D10" s="120"/>
      <c r="E10" s="479" t="s">
        <v>11</v>
      </c>
      <c r="F10" s="478">
        <v>1269738258.23</v>
      </c>
      <c r="G10" s="180">
        <v>676716178.77999997</v>
      </c>
      <c r="H10" s="393">
        <v>100000000</v>
      </c>
      <c r="I10" s="393">
        <f t="shared" si="0"/>
        <v>1169738258.23</v>
      </c>
    </row>
    <row r="11" spans="1:9" s="29" customFormat="1" ht="36" x14ac:dyDescent="0.25">
      <c r="A11" s="101">
        <v>5</v>
      </c>
      <c r="B11" s="397" t="s">
        <v>762</v>
      </c>
      <c r="C11" s="100"/>
      <c r="D11" s="120"/>
      <c r="E11" s="479" t="s">
        <v>11</v>
      </c>
      <c r="F11" s="478">
        <v>383401773.07999998</v>
      </c>
      <c r="G11" s="180">
        <v>191895392.19999999</v>
      </c>
      <c r="H11" s="393">
        <v>50000000</v>
      </c>
      <c r="I11" s="393">
        <f t="shared" si="0"/>
        <v>333401773.07999998</v>
      </c>
    </row>
    <row r="12" spans="1:9" s="29" customFormat="1" ht="18.75" customHeight="1" x14ac:dyDescent="0.25">
      <c r="A12" s="101">
        <v>6</v>
      </c>
      <c r="B12" s="397" t="s">
        <v>1119</v>
      </c>
      <c r="C12" s="100"/>
      <c r="D12" s="120"/>
      <c r="E12" s="479" t="s">
        <v>11</v>
      </c>
      <c r="F12" s="478">
        <v>17463849777.439999</v>
      </c>
      <c r="G12" s="180">
        <v>8368522740.6700001</v>
      </c>
      <c r="H12" s="393">
        <v>2278000000</v>
      </c>
      <c r="I12" s="393">
        <f t="shared" si="0"/>
        <v>15185849777.439999</v>
      </c>
    </row>
    <row r="13" spans="1:9" s="29" customFormat="1" ht="16.5" customHeight="1" x14ac:dyDescent="0.25">
      <c r="A13" s="101">
        <v>7</v>
      </c>
      <c r="B13" s="397" t="s">
        <v>1117</v>
      </c>
      <c r="C13" s="100"/>
      <c r="D13" s="120"/>
      <c r="E13" s="479" t="s">
        <v>11</v>
      </c>
      <c r="F13" s="478">
        <v>325485193.83999997</v>
      </c>
      <c r="G13" s="180">
        <v>149006241.34</v>
      </c>
      <c r="H13" s="393">
        <v>60000000</v>
      </c>
      <c r="I13" s="393">
        <f t="shared" si="0"/>
        <v>265485193.83999997</v>
      </c>
    </row>
    <row r="14" spans="1:9" s="29" customFormat="1" ht="24.75" thickBot="1" x14ac:dyDescent="0.3">
      <c r="A14" s="101">
        <v>8</v>
      </c>
      <c r="B14" s="397" t="s">
        <v>1120</v>
      </c>
      <c r="C14" s="100"/>
      <c r="D14" s="120"/>
      <c r="E14" s="479" t="s">
        <v>11</v>
      </c>
      <c r="F14" s="43">
        <v>981061279.46000004</v>
      </c>
      <c r="G14" s="180">
        <v>213154009.75</v>
      </c>
      <c r="H14" s="393">
        <f>370469784.17+18215.83+4885000+700000-10000000</f>
        <v>366073000</v>
      </c>
      <c r="I14" s="393">
        <f t="shared" si="0"/>
        <v>614988279.46000004</v>
      </c>
    </row>
    <row r="15" spans="1:9" ht="15.75" customHeight="1" thickBot="1" x14ac:dyDescent="0.3">
      <c r="A15" s="90"/>
      <c r="B15" s="89"/>
      <c r="C15" s="89"/>
      <c r="D15" s="89"/>
      <c r="E15" s="121" t="s">
        <v>195</v>
      </c>
      <c r="F15" s="115">
        <f t="shared" ref="F15:H15" si="1">SUM(F7:F14)</f>
        <v>21816537110.649998</v>
      </c>
      <c r="G15" s="115">
        <f t="shared" si="1"/>
        <v>10286448740.01</v>
      </c>
      <c r="H15" s="115">
        <f t="shared" si="1"/>
        <v>3064073000</v>
      </c>
      <c r="I15" s="115">
        <f>SUM(I7:I14)</f>
        <v>18752464110.649998</v>
      </c>
    </row>
    <row r="16" spans="1:9" ht="15.75" thickBot="1" x14ac:dyDescent="0.3">
      <c r="A16" s="103"/>
      <c r="B16" s="104"/>
      <c r="C16" s="105"/>
      <c r="D16" s="105"/>
      <c r="E16" s="87" t="s">
        <v>31</v>
      </c>
      <c r="F16" s="106">
        <f>SUM(F15)</f>
        <v>21816537110.649998</v>
      </c>
      <c r="G16" s="106">
        <f>SUM(G15)</f>
        <v>10286448740.01</v>
      </c>
      <c r="H16" s="106">
        <f>SUM(H15)</f>
        <v>3064073000</v>
      </c>
      <c r="I16" s="137">
        <f>SUM(I15)</f>
        <v>18752464110.649998</v>
      </c>
    </row>
    <row r="23" spans="5:12" x14ac:dyDescent="0.25">
      <c r="E23" s="3"/>
      <c r="L23" s="114"/>
    </row>
    <row r="28" spans="5:12" x14ac:dyDescent="0.25">
      <c r="E28">
        <v>7</v>
      </c>
    </row>
  </sheetData>
  <mergeCells count="4">
    <mergeCell ref="A1:I1"/>
    <mergeCell ref="A2:I2"/>
    <mergeCell ref="A5:I5"/>
    <mergeCell ref="A3:I3"/>
  </mergeCells>
  <pageMargins left="0.13" right="0.13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workbookViewId="0">
      <selection activeCell="I5" sqref="I5"/>
    </sheetView>
  </sheetViews>
  <sheetFormatPr defaultRowHeight="15" x14ac:dyDescent="0.25"/>
  <cols>
    <col min="1" max="1" width="11.5703125" customWidth="1"/>
    <col min="2" max="2" width="10.85546875" customWidth="1"/>
    <col min="3" max="3" width="32.85546875" customWidth="1"/>
    <col min="4" max="4" width="14.140625" customWidth="1"/>
    <col min="5" max="5" width="13.85546875" customWidth="1"/>
    <col min="6" max="6" width="14.140625" customWidth="1"/>
    <col min="7" max="7" width="15" customWidth="1"/>
    <col min="8" max="8" width="9.85546875" customWidth="1"/>
  </cols>
  <sheetData>
    <row r="1" spans="1:8" x14ac:dyDescent="0.25">
      <c r="A1" s="660" t="s">
        <v>7</v>
      </c>
      <c r="B1" s="660"/>
      <c r="C1" s="660"/>
      <c r="D1" s="660"/>
      <c r="E1" s="660"/>
      <c r="F1" s="660"/>
      <c r="G1" s="660"/>
      <c r="H1" s="660"/>
    </row>
    <row r="2" spans="1:8" x14ac:dyDescent="0.25">
      <c r="A2" s="661" t="s">
        <v>1482</v>
      </c>
      <c r="B2" s="661"/>
      <c r="C2" s="661"/>
      <c r="D2" s="661"/>
      <c r="E2" s="661"/>
      <c r="F2" s="661"/>
      <c r="G2" s="661"/>
      <c r="H2" s="661"/>
    </row>
    <row r="3" spans="1:8" x14ac:dyDescent="0.25">
      <c r="A3" s="660" t="s">
        <v>194</v>
      </c>
      <c r="B3" s="660"/>
      <c r="C3" s="660"/>
      <c r="D3" s="660"/>
      <c r="E3" s="660"/>
      <c r="F3" s="660"/>
      <c r="G3" s="660"/>
      <c r="H3" s="660"/>
    </row>
    <row r="4" spans="1:8" x14ac:dyDescent="0.25">
      <c r="A4" s="25"/>
      <c r="B4" s="25"/>
      <c r="C4" s="676"/>
      <c r="D4" s="676"/>
      <c r="E4" s="676"/>
      <c r="F4" s="676"/>
      <c r="G4" s="26"/>
    </row>
    <row r="5" spans="1:8" s="27" customFormat="1" ht="39" customHeight="1" x14ac:dyDescent="0.2">
      <c r="A5" s="63" t="s">
        <v>16</v>
      </c>
      <c r="B5" s="63" t="s">
        <v>17</v>
      </c>
      <c r="C5" s="63" t="s">
        <v>18</v>
      </c>
      <c r="D5" s="63" t="s">
        <v>540</v>
      </c>
      <c r="E5" s="63" t="s">
        <v>199</v>
      </c>
      <c r="F5" s="63" t="s">
        <v>198</v>
      </c>
      <c r="G5" s="63" t="s">
        <v>1483</v>
      </c>
      <c r="H5" s="63" t="s">
        <v>184</v>
      </c>
    </row>
    <row r="6" spans="1:8" s="29" customFormat="1" ht="15.75" customHeight="1" x14ac:dyDescent="0.25">
      <c r="A6" s="405" t="s">
        <v>281</v>
      </c>
      <c r="B6" s="73"/>
      <c r="C6" s="403" t="s">
        <v>968</v>
      </c>
      <c r="D6" s="399">
        <v>0</v>
      </c>
      <c r="E6" s="399">
        <v>4060067.71</v>
      </c>
      <c r="F6" s="400">
        <v>6960116.0800000001</v>
      </c>
      <c r="G6" s="400">
        <f t="shared" ref="G6:G19" si="0">D6+F6</f>
        <v>6960116.0800000001</v>
      </c>
      <c r="H6" s="400" t="s">
        <v>185</v>
      </c>
    </row>
    <row r="7" spans="1:8" s="29" customFormat="1" ht="17.25" customHeight="1" x14ac:dyDescent="0.25">
      <c r="A7" s="405" t="s">
        <v>296</v>
      </c>
      <c r="B7" s="73"/>
      <c r="C7" s="397" t="s">
        <v>1128</v>
      </c>
      <c r="D7" s="399">
        <v>25474483.850000001</v>
      </c>
      <c r="E7" s="399">
        <v>20429084.829999998</v>
      </c>
      <c r="F7" s="400">
        <v>9546804.4299999997</v>
      </c>
      <c r="G7" s="400">
        <f t="shared" si="0"/>
        <v>35021288.280000001</v>
      </c>
      <c r="H7" s="400" t="s">
        <v>185</v>
      </c>
    </row>
    <row r="8" spans="1:8" s="29" customFormat="1" ht="15.75" customHeight="1" x14ac:dyDescent="0.25">
      <c r="A8" s="405" t="s">
        <v>298</v>
      </c>
      <c r="B8" s="73"/>
      <c r="C8" s="397" t="s">
        <v>1129</v>
      </c>
      <c r="D8" s="399">
        <v>26749212.219999999</v>
      </c>
      <c r="E8" s="399">
        <v>21952741.710000001</v>
      </c>
      <c r="F8" s="400">
        <v>10884059.289999999</v>
      </c>
      <c r="G8" s="400">
        <f t="shared" si="0"/>
        <v>37633271.509999998</v>
      </c>
      <c r="H8" s="400" t="s">
        <v>185</v>
      </c>
    </row>
    <row r="9" spans="1:8" s="29" customFormat="1" ht="24" x14ac:dyDescent="0.25">
      <c r="A9" s="405" t="s">
        <v>307</v>
      </c>
      <c r="B9" s="73"/>
      <c r="C9" s="397" t="s">
        <v>1130</v>
      </c>
      <c r="D9" s="399">
        <v>0</v>
      </c>
      <c r="E9" s="399">
        <v>3980491.44</v>
      </c>
      <c r="F9" s="400">
        <v>6823699.6100000003</v>
      </c>
      <c r="G9" s="400">
        <f t="shared" si="0"/>
        <v>6823699.6100000003</v>
      </c>
      <c r="H9" s="400" t="s">
        <v>185</v>
      </c>
    </row>
    <row r="10" spans="1:8" s="29" customFormat="1" ht="15.75" customHeight="1" x14ac:dyDescent="0.25">
      <c r="A10" s="405" t="s">
        <v>311</v>
      </c>
      <c r="B10" s="73"/>
      <c r="C10" s="404" t="s">
        <v>1132</v>
      </c>
      <c r="D10" s="399">
        <v>28342357.16</v>
      </c>
      <c r="E10" s="399">
        <v>17088396.559999999</v>
      </c>
      <c r="F10" s="400">
        <v>952036.94</v>
      </c>
      <c r="G10" s="400">
        <f t="shared" si="0"/>
        <v>29294394.100000001</v>
      </c>
      <c r="H10" s="400" t="s">
        <v>185</v>
      </c>
    </row>
    <row r="11" spans="1:8" s="29" customFormat="1" ht="15.75" customHeight="1" x14ac:dyDescent="0.25">
      <c r="A11" s="405" t="s">
        <v>326</v>
      </c>
      <c r="B11" s="73"/>
      <c r="C11" s="401" t="s">
        <v>1133</v>
      </c>
      <c r="D11" s="399">
        <v>0</v>
      </c>
      <c r="E11" s="399">
        <v>4670537.82</v>
      </c>
      <c r="F11" s="400">
        <v>8006636.2699999996</v>
      </c>
      <c r="G11" s="400">
        <f t="shared" si="0"/>
        <v>8006636.2699999996</v>
      </c>
      <c r="H11" s="400" t="s">
        <v>185</v>
      </c>
    </row>
    <row r="12" spans="1:8" s="29" customFormat="1" ht="15.75" customHeight="1" x14ac:dyDescent="0.25">
      <c r="A12" s="405" t="s">
        <v>342</v>
      </c>
      <c r="B12" s="73"/>
      <c r="C12" s="403" t="s">
        <v>1131</v>
      </c>
      <c r="D12" s="399">
        <v>0</v>
      </c>
      <c r="E12" s="399">
        <v>5297897.3499999996</v>
      </c>
      <c r="F12" s="400">
        <v>9082109.7400000002</v>
      </c>
      <c r="G12" s="400">
        <f t="shared" si="0"/>
        <v>9082109.7400000002</v>
      </c>
      <c r="H12" s="400" t="s">
        <v>185</v>
      </c>
    </row>
    <row r="13" spans="1:8" s="29" customFormat="1" ht="15.75" customHeight="1" x14ac:dyDescent="0.25">
      <c r="A13" s="405" t="s">
        <v>234</v>
      </c>
      <c r="B13" s="73"/>
      <c r="C13" s="396" t="s">
        <v>1121</v>
      </c>
      <c r="D13" s="399">
        <v>58185257.219999999</v>
      </c>
      <c r="E13" s="399">
        <v>35750695.149999999</v>
      </c>
      <c r="F13" s="400">
        <v>3101648.75</v>
      </c>
      <c r="G13" s="400">
        <f t="shared" si="0"/>
        <v>61286905.969999999</v>
      </c>
      <c r="H13" s="400" t="s">
        <v>185</v>
      </c>
    </row>
    <row r="14" spans="1:8" s="29" customFormat="1" ht="15.75" customHeight="1" x14ac:dyDescent="0.25">
      <c r="A14" s="405" t="s">
        <v>1149</v>
      </c>
      <c r="B14" s="73"/>
      <c r="C14" s="396" t="s">
        <v>1411</v>
      </c>
      <c r="D14" s="399">
        <v>242767428.28999999</v>
      </c>
      <c r="E14" s="399">
        <v>127660800.02</v>
      </c>
      <c r="F14" s="400">
        <v>39700000</v>
      </c>
      <c r="G14" s="400">
        <f t="shared" si="0"/>
        <v>282467428.28999996</v>
      </c>
      <c r="H14" s="400" t="s">
        <v>185</v>
      </c>
    </row>
    <row r="15" spans="1:8" s="29" customFormat="1" ht="24.75" x14ac:dyDescent="0.25">
      <c r="A15" s="405" t="s">
        <v>417</v>
      </c>
      <c r="B15" s="73"/>
      <c r="C15" s="398" t="s">
        <v>943</v>
      </c>
      <c r="D15" s="399">
        <v>67388246.379999995</v>
      </c>
      <c r="E15" s="399">
        <v>41107149.740000002</v>
      </c>
      <c r="F15" s="400">
        <v>3081153.18</v>
      </c>
      <c r="G15" s="400">
        <f t="shared" si="0"/>
        <v>70469399.560000002</v>
      </c>
      <c r="H15" s="400" t="s">
        <v>185</v>
      </c>
    </row>
    <row r="16" spans="1:8" s="29" customFormat="1" ht="15.75" customHeight="1" x14ac:dyDescent="0.25">
      <c r="A16" s="405" t="s">
        <v>436</v>
      </c>
      <c r="B16" s="73"/>
      <c r="C16" s="402" t="s">
        <v>1127</v>
      </c>
      <c r="D16" s="399">
        <v>5569447.3600000003</v>
      </c>
      <c r="E16" s="399">
        <v>3789242.2</v>
      </c>
      <c r="F16" s="400">
        <v>926396.42</v>
      </c>
      <c r="G16" s="400">
        <f t="shared" si="0"/>
        <v>6495843.7800000003</v>
      </c>
      <c r="H16" s="400" t="s">
        <v>185</v>
      </c>
    </row>
    <row r="17" spans="1:8" s="29" customFormat="1" ht="15.75" customHeight="1" x14ac:dyDescent="0.25">
      <c r="A17" s="405" t="s">
        <v>447</v>
      </c>
      <c r="B17" s="73"/>
      <c r="C17" s="401" t="s">
        <v>1125</v>
      </c>
      <c r="D17" s="399">
        <v>0</v>
      </c>
      <c r="E17" s="399">
        <v>7693948.46</v>
      </c>
      <c r="F17" s="400">
        <v>13189625.92</v>
      </c>
      <c r="G17" s="400">
        <f t="shared" si="0"/>
        <v>13189625.92</v>
      </c>
      <c r="H17" s="400" t="s">
        <v>185</v>
      </c>
    </row>
    <row r="18" spans="1:8" s="29" customFormat="1" ht="15.75" customHeight="1" x14ac:dyDescent="0.25">
      <c r="A18" s="405" t="s">
        <v>464</v>
      </c>
      <c r="B18" s="73"/>
      <c r="C18" s="397" t="s">
        <v>1122</v>
      </c>
      <c r="D18" s="399">
        <v>35613787.57</v>
      </c>
      <c r="E18" s="399">
        <v>22125212.359999999</v>
      </c>
      <c r="F18" s="400">
        <v>2315147.9</v>
      </c>
      <c r="G18" s="400">
        <f t="shared" si="0"/>
        <v>37928935.469999999</v>
      </c>
      <c r="H18" s="400" t="s">
        <v>185</v>
      </c>
    </row>
    <row r="19" spans="1:8" s="29" customFormat="1" ht="15.75" customHeight="1" x14ac:dyDescent="0.25">
      <c r="A19" s="405" t="s">
        <v>1134</v>
      </c>
      <c r="B19" s="73"/>
      <c r="C19" s="401" t="s">
        <v>1124</v>
      </c>
      <c r="D19" s="399">
        <v>0</v>
      </c>
      <c r="E19" s="399">
        <v>9408493.1600000001</v>
      </c>
      <c r="F19" s="400">
        <v>16147061.25</v>
      </c>
      <c r="G19" s="400">
        <f t="shared" si="0"/>
        <v>16147061.25</v>
      </c>
      <c r="H19" s="400" t="s">
        <v>185</v>
      </c>
    </row>
    <row r="20" spans="1:8" s="29" customFormat="1" ht="15.75" customHeight="1" x14ac:dyDescent="0.25">
      <c r="A20" s="405" t="s">
        <v>491</v>
      </c>
      <c r="B20" s="73"/>
      <c r="C20" s="397" t="s">
        <v>1123</v>
      </c>
      <c r="D20" s="180">
        <v>8704688968.1599998</v>
      </c>
      <c r="E20" s="180">
        <v>5101957824.6199999</v>
      </c>
      <c r="F20" s="176">
        <v>41524445.469999999</v>
      </c>
      <c r="G20" s="176">
        <f t="shared" ref="G20:G21" si="1">D20+F20</f>
        <v>8746213413.6299992</v>
      </c>
      <c r="H20" s="400" t="s">
        <v>185</v>
      </c>
    </row>
    <row r="21" spans="1:8" s="29" customFormat="1" ht="15.75" customHeight="1" thickBot="1" x14ac:dyDescent="0.3">
      <c r="A21" s="405" t="s">
        <v>502</v>
      </c>
      <c r="B21" s="73"/>
      <c r="C21" s="401" t="s">
        <v>1126</v>
      </c>
      <c r="D21" s="399">
        <v>0</v>
      </c>
      <c r="E21" s="399">
        <v>5510784.2699999996</v>
      </c>
      <c r="F21" s="400">
        <v>9447058.75</v>
      </c>
      <c r="G21" s="400">
        <f t="shared" si="1"/>
        <v>9447058.75</v>
      </c>
      <c r="H21" s="400" t="s">
        <v>185</v>
      </c>
    </row>
    <row r="22" spans="1:8" s="29" customFormat="1" ht="18" customHeight="1" thickBot="1" x14ac:dyDescent="0.3">
      <c r="A22" s="111"/>
      <c r="B22" s="112"/>
      <c r="C22" s="141" t="s">
        <v>26</v>
      </c>
      <c r="D22" s="136">
        <f t="shared" ref="D22:F22" si="2">SUM(D6:D21)</f>
        <v>9194779188.2099991</v>
      </c>
      <c r="E22" s="136">
        <f t="shared" si="2"/>
        <v>5432483367.4000006</v>
      </c>
      <c r="F22" s="136">
        <f t="shared" si="2"/>
        <v>181688000</v>
      </c>
      <c r="G22" s="136">
        <f>SUM(G6:G21)</f>
        <v>9376467188.2099991</v>
      </c>
      <c r="H22" s="113"/>
    </row>
    <row r="27" spans="1:8" x14ac:dyDescent="0.25">
      <c r="D27" s="114"/>
      <c r="F27" s="114"/>
      <c r="G27" s="114"/>
    </row>
    <row r="30" spans="1:8" x14ac:dyDescent="0.25">
      <c r="D30" s="29">
        <v>8</v>
      </c>
    </row>
    <row r="31" spans="1:8" x14ac:dyDescent="0.25">
      <c r="C31" s="3"/>
    </row>
    <row r="33" spans="3:4" x14ac:dyDescent="0.25">
      <c r="C33" s="3"/>
    </row>
    <row r="45" spans="3:4" x14ac:dyDescent="0.25">
      <c r="D45" s="57"/>
    </row>
  </sheetData>
  <mergeCells count="4">
    <mergeCell ref="C4:F4"/>
    <mergeCell ref="A1:H1"/>
    <mergeCell ref="A2:H2"/>
    <mergeCell ref="A3:H3"/>
  </mergeCells>
  <pageMargins left="0.7" right="0.7" top="0.75" bottom="0.75" header="0.3" footer="0.3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activeCell="K11" sqref="K11"/>
    </sheetView>
  </sheetViews>
  <sheetFormatPr defaultRowHeight="15" x14ac:dyDescent="0.25"/>
  <cols>
    <col min="1" max="1" width="4.7109375" customWidth="1"/>
    <col min="2" max="2" width="23" customWidth="1"/>
    <col min="3" max="3" width="6.28515625" style="27" customWidth="1"/>
    <col min="4" max="4" width="10.140625" style="27" customWidth="1"/>
    <col min="5" max="5" width="26.42578125" customWidth="1"/>
    <col min="6" max="6" width="13.28515625" customWidth="1"/>
    <col min="7" max="7" width="13.140625" hidden="1" customWidth="1"/>
    <col min="8" max="8" width="13.5703125" customWidth="1"/>
    <col min="9" max="9" width="13" customWidth="1"/>
    <col min="10" max="10" width="15" bestFit="1" customWidth="1"/>
  </cols>
  <sheetData>
    <row r="1" spans="1:9" x14ac:dyDescent="0.25">
      <c r="A1" s="660" t="s">
        <v>7</v>
      </c>
      <c r="B1" s="660"/>
      <c r="C1" s="660"/>
      <c r="D1" s="660"/>
      <c r="E1" s="660"/>
      <c r="F1" s="660"/>
      <c r="G1" s="660"/>
      <c r="H1" s="660"/>
      <c r="I1" s="660"/>
    </row>
    <row r="2" spans="1:9" x14ac:dyDescent="0.25">
      <c r="A2" s="660" t="s">
        <v>1480</v>
      </c>
      <c r="B2" s="661"/>
      <c r="C2" s="661"/>
      <c r="D2" s="661"/>
      <c r="E2" s="661"/>
      <c r="F2" s="661"/>
      <c r="G2" s="661"/>
      <c r="H2" s="661"/>
      <c r="I2" s="661"/>
    </row>
    <row r="3" spans="1:9" x14ac:dyDescent="0.25">
      <c r="A3" s="660" t="s">
        <v>219</v>
      </c>
      <c r="B3" s="660"/>
      <c r="C3" s="660"/>
      <c r="D3" s="660"/>
      <c r="E3" s="660"/>
      <c r="F3" s="660"/>
      <c r="G3" s="660"/>
      <c r="H3" s="660"/>
      <c r="I3" s="660"/>
    </row>
    <row r="4" spans="1:9" x14ac:dyDescent="0.25">
      <c r="A4" s="57"/>
      <c r="B4" s="47"/>
      <c r="C4" s="47"/>
      <c r="D4" s="47"/>
      <c r="E4" s="47"/>
      <c r="F4" s="47"/>
      <c r="G4" s="47"/>
      <c r="H4" s="57"/>
      <c r="I4" s="57"/>
    </row>
    <row r="5" spans="1:9" x14ac:dyDescent="0.25">
      <c r="A5" s="675" t="s">
        <v>220</v>
      </c>
      <c r="B5" s="675"/>
      <c r="C5" s="675"/>
      <c r="D5" s="675"/>
      <c r="E5" s="675"/>
      <c r="F5" s="675"/>
      <c r="G5" s="675"/>
      <c r="H5" s="675"/>
      <c r="I5" s="675"/>
    </row>
    <row r="6" spans="1:9" s="27" customFormat="1" ht="26.1" customHeight="1" x14ac:dyDescent="0.2">
      <c r="A6" s="125" t="s">
        <v>0</v>
      </c>
      <c r="B6" s="125" t="s">
        <v>141</v>
      </c>
      <c r="C6" s="125" t="s">
        <v>2</v>
      </c>
      <c r="D6" s="99" t="s">
        <v>17</v>
      </c>
      <c r="E6" s="125" t="s">
        <v>28</v>
      </c>
      <c r="F6" s="99" t="s">
        <v>540</v>
      </c>
      <c r="G6" s="99" t="s">
        <v>197</v>
      </c>
      <c r="H6" s="99" t="s">
        <v>29</v>
      </c>
      <c r="I6" s="99" t="s">
        <v>1481</v>
      </c>
    </row>
    <row r="7" spans="1:9" s="5" customFormat="1" ht="30.75" customHeight="1" thickBot="1" x14ac:dyDescent="0.3">
      <c r="A7" s="126">
        <v>1</v>
      </c>
      <c r="B7" s="68" t="s">
        <v>547</v>
      </c>
      <c r="C7" s="126"/>
      <c r="D7" s="142">
        <v>22100595</v>
      </c>
      <c r="E7" s="143" t="s">
        <v>240</v>
      </c>
      <c r="F7" s="160">
        <v>25000000</v>
      </c>
      <c r="G7" s="153">
        <v>1161000</v>
      </c>
      <c r="H7" s="160">
        <v>15000000</v>
      </c>
      <c r="I7" s="154">
        <f>F7-H7</f>
        <v>10000000</v>
      </c>
    </row>
    <row r="8" spans="1:9" s="5" customFormat="1" ht="26.25" customHeight="1" thickBot="1" x14ac:dyDescent="0.3">
      <c r="A8" s="156"/>
      <c r="B8" s="67"/>
      <c r="C8" s="157"/>
      <c r="D8" s="152"/>
      <c r="E8" s="134" t="s">
        <v>548</v>
      </c>
      <c r="F8" s="159">
        <f>SUM(F7:F7)</f>
        <v>25000000</v>
      </c>
      <c r="G8" s="159">
        <f>SUM(G7:G7)</f>
        <v>1161000</v>
      </c>
      <c r="H8" s="159">
        <f>SUM(H7:H7)</f>
        <v>15000000</v>
      </c>
      <c r="I8" s="159">
        <f>SUM(I7:I7)</f>
        <v>10000000</v>
      </c>
    </row>
    <row r="9" spans="1:9" s="5" customFormat="1" ht="6.75" customHeight="1" x14ac:dyDescent="0.25">
      <c r="A9" s="149"/>
      <c r="B9" s="95"/>
      <c r="C9" s="149"/>
      <c r="D9" s="150"/>
      <c r="E9" s="95"/>
      <c r="F9" s="155"/>
      <c r="G9" s="155"/>
      <c r="H9" s="155"/>
      <c r="I9" s="155"/>
    </row>
    <row r="10" spans="1:9" s="5" customFormat="1" ht="25.5" customHeight="1" thickBot="1" x14ac:dyDescent="0.3">
      <c r="A10" s="126">
        <v>2</v>
      </c>
      <c r="B10" s="171" t="s">
        <v>207</v>
      </c>
      <c r="C10" s="126"/>
      <c r="D10" s="142">
        <v>22100420</v>
      </c>
      <c r="E10" s="394" t="s">
        <v>550</v>
      </c>
      <c r="F10" s="129">
        <v>118000000</v>
      </c>
      <c r="G10" s="129">
        <v>17921200</v>
      </c>
      <c r="H10" s="129">
        <v>60000000</v>
      </c>
      <c r="I10" s="130">
        <f>F10-H10</f>
        <v>58000000</v>
      </c>
    </row>
    <row r="11" spans="1:9" s="5" customFormat="1" ht="19.5" customHeight="1" thickBot="1" x14ac:dyDescent="0.3">
      <c r="A11" s="156"/>
      <c r="B11" s="67"/>
      <c r="C11" s="157"/>
      <c r="D11" s="209"/>
      <c r="E11" s="162" t="s">
        <v>243</v>
      </c>
      <c r="F11" s="159">
        <f>SUM(F10:F10)</f>
        <v>118000000</v>
      </c>
      <c r="G11" s="159">
        <f>SUM(G10:G10)</f>
        <v>17921200</v>
      </c>
      <c r="H11" s="159">
        <f>SUM(H10:H10)</f>
        <v>60000000</v>
      </c>
      <c r="I11" s="159">
        <f>SUM(I10:I10)</f>
        <v>58000000</v>
      </c>
    </row>
    <row r="12" spans="1:9" s="5" customFormat="1" ht="6" customHeight="1" x14ac:dyDescent="0.25">
      <c r="A12" s="126"/>
      <c r="B12" s="68"/>
      <c r="C12" s="126"/>
      <c r="D12" s="123"/>
      <c r="E12" s="208"/>
      <c r="F12" s="131"/>
      <c r="G12" s="131"/>
      <c r="H12" s="131"/>
      <c r="I12" s="131"/>
    </row>
    <row r="13" spans="1:9" s="5" customFormat="1" ht="36.75" thickBot="1" x14ac:dyDescent="0.3">
      <c r="A13" s="127">
        <v>3</v>
      </c>
      <c r="B13" s="91" t="s">
        <v>64</v>
      </c>
      <c r="C13" s="127"/>
      <c r="D13" s="564">
        <v>22100393</v>
      </c>
      <c r="E13" s="363" t="s">
        <v>171</v>
      </c>
      <c r="F13" s="153">
        <v>50000000</v>
      </c>
      <c r="G13" s="153">
        <v>0</v>
      </c>
      <c r="H13" s="153">
        <v>40000000</v>
      </c>
      <c r="I13" s="154">
        <f>F13-H13</f>
        <v>10000000</v>
      </c>
    </row>
    <row r="14" spans="1:9" s="5" customFormat="1" ht="17.25" customHeight="1" thickBot="1" x14ac:dyDescent="0.3">
      <c r="A14" s="156"/>
      <c r="B14" s="67"/>
      <c r="C14" s="157"/>
      <c r="D14" s="152"/>
      <c r="E14" s="67" t="s">
        <v>526</v>
      </c>
      <c r="F14" s="158">
        <f t="shared" ref="F14:H14" si="0">SUM(F13)</f>
        <v>50000000</v>
      </c>
      <c r="G14" s="158">
        <f t="shared" si="0"/>
        <v>0</v>
      </c>
      <c r="H14" s="158">
        <f t="shared" si="0"/>
        <v>40000000</v>
      </c>
      <c r="I14" s="159">
        <f>SUM(I13)</f>
        <v>10000000</v>
      </c>
    </row>
    <row r="15" spans="1:9" s="5" customFormat="1" ht="6.75" customHeight="1" x14ac:dyDescent="0.25">
      <c r="A15" s="149"/>
      <c r="B15" s="95"/>
      <c r="C15" s="149"/>
      <c r="D15" s="150"/>
      <c r="E15" s="95"/>
      <c r="F15" s="155"/>
      <c r="G15" s="155"/>
      <c r="H15" s="155"/>
      <c r="I15" s="155"/>
    </row>
    <row r="16" spans="1:9" s="5" customFormat="1" ht="22.5" x14ac:dyDescent="0.25">
      <c r="A16" s="126">
        <v>4</v>
      </c>
      <c r="B16" s="68" t="s">
        <v>96</v>
      </c>
      <c r="C16" s="126"/>
      <c r="D16" s="175">
        <v>22100606</v>
      </c>
      <c r="E16" s="211" t="s">
        <v>1099</v>
      </c>
      <c r="F16" s="129">
        <v>3000000</v>
      </c>
      <c r="G16" s="131"/>
      <c r="H16" s="129">
        <v>2000000</v>
      </c>
      <c r="I16" s="154">
        <f>F16-H16</f>
        <v>1000000</v>
      </c>
    </row>
    <row r="17" spans="1:9" s="5" customFormat="1" ht="17.25" customHeight="1" x14ac:dyDescent="0.25">
      <c r="A17" s="126"/>
      <c r="B17" s="68"/>
      <c r="C17" s="126"/>
      <c r="D17" s="175">
        <v>22100607</v>
      </c>
      <c r="E17" s="211" t="s">
        <v>1100</v>
      </c>
      <c r="F17" s="129">
        <v>9000000</v>
      </c>
      <c r="G17" s="131"/>
      <c r="H17" s="129">
        <v>8508000</v>
      </c>
      <c r="I17" s="154">
        <f t="shared" ref="I17:I19" si="1">F17-H17</f>
        <v>492000</v>
      </c>
    </row>
    <row r="18" spans="1:9" s="5" customFormat="1" ht="24" x14ac:dyDescent="0.25">
      <c r="A18" s="126"/>
      <c r="B18" s="68"/>
      <c r="C18" s="126"/>
      <c r="D18" s="175">
        <v>22100614</v>
      </c>
      <c r="E18" s="211" t="s">
        <v>1107</v>
      </c>
      <c r="F18" s="212">
        <v>3000000</v>
      </c>
      <c r="G18" s="131"/>
      <c r="H18" s="129">
        <v>2000000</v>
      </c>
      <c r="I18" s="154">
        <f t="shared" si="1"/>
        <v>1000000</v>
      </c>
    </row>
    <row r="19" spans="1:9" s="5" customFormat="1" ht="24.75" thickBot="1" x14ac:dyDescent="0.3">
      <c r="A19" s="127"/>
      <c r="B19" s="91"/>
      <c r="C19" s="127"/>
      <c r="D19" s="564">
        <v>22100615</v>
      </c>
      <c r="E19" s="363" t="s">
        <v>1108</v>
      </c>
      <c r="F19" s="364">
        <v>20500000</v>
      </c>
      <c r="G19" s="161"/>
      <c r="H19" s="153">
        <v>5000000</v>
      </c>
      <c r="I19" s="154">
        <f t="shared" si="1"/>
        <v>15500000</v>
      </c>
    </row>
    <row r="20" spans="1:9" s="5" customFormat="1" ht="21.75" thickBot="1" x14ac:dyDescent="0.3">
      <c r="A20" s="156"/>
      <c r="B20" s="67"/>
      <c r="C20" s="157"/>
      <c r="D20" s="152"/>
      <c r="E20" s="134" t="s">
        <v>791</v>
      </c>
      <c r="F20" s="158">
        <f>SUM(F16:F19)</f>
        <v>35500000</v>
      </c>
      <c r="G20" s="158">
        <f t="shared" ref="G20:I20" si="2">SUM(G16:G19)</f>
        <v>0</v>
      </c>
      <c r="H20" s="158">
        <f t="shared" si="2"/>
        <v>17508000</v>
      </c>
      <c r="I20" s="159">
        <f t="shared" si="2"/>
        <v>17992000</v>
      </c>
    </row>
    <row r="21" spans="1:9" ht="17.25" customHeight="1" thickBot="1" x14ac:dyDescent="0.3">
      <c r="A21" s="168"/>
      <c r="B21" s="169"/>
      <c r="C21" s="169"/>
      <c r="D21" s="169"/>
      <c r="E21" s="170" t="s">
        <v>26</v>
      </c>
      <c r="F21" s="193">
        <f>F14+F11+F8+F20</f>
        <v>228500000</v>
      </c>
      <c r="G21" s="193">
        <f>G14+G11+G8+G20</f>
        <v>19082200</v>
      </c>
      <c r="H21" s="193">
        <f>H14+H11+H8+H20</f>
        <v>132508000</v>
      </c>
      <c r="I21" s="193">
        <f>I14+I11+I8+I20</f>
        <v>95992000</v>
      </c>
    </row>
    <row r="23" spans="1:9" x14ac:dyDescent="0.25">
      <c r="H23" s="203"/>
    </row>
  </sheetData>
  <mergeCells count="4">
    <mergeCell ref="A1:I1"/>
    <mergeCell ref="A2:I2"/>
    <mergeCell ref="A3:I3"/>
    <mergeCell ref="A5:I5"/>
  </mergeCells>
  <pageMargins left="0.7" right="0.13" top="0.75" bottom="0.75" header="0.3" footer="0.3"/>
  <pageSetup firstPageNumber="9" orientation="landscape" useFirstPageNumber="1" r:id="rId1"/>
  <headerFooter>
    <oddFooter>&amp;C&amp;P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85"/>
  <sheetViews>
    <sheetView topLeftCell="A437" zoomScale="110" zoomScaleNormal="110" workbookViewId="0">
      <selection activeCell="C445" sqref="C445"/>
    </sheetView>
  </sheetViews>
  <sheetFormatPr defaultRowHeight="15" x14ac:dyDescent="0.25"/>
  <cols>
    <col min="1" max="1" width="4.42578125" customWidth="1"/>
    <col min="2" max="2" width="11.42578125" style="29" customWidth="1"/>
    <col min="3" max="3" width="36.5703125" style="36" customWidth="1"/>
    <col min="4" max="4" width="14.7109375" customWidth="1"/>
    <col min="5" max="5" width="14.140625" hidden="1" customWidth="1"/>
    <col min="6" max="7" width="12.85546875" customWidth="1"/>
    <col min="8" max="8" width="14.28515625" customWidth="1"/>
    <col min="9" max="9" width="10" customWidth="1"/>
    <col min="10" max="10" width="16.85546875" bestFit="1" customWidth="1"/>
    <col min="13" max="13" width="18" bestFit="1" customWidth="1"/>
  </cols>
  <sheetData>
    <row r="1" spans="1:9" x14ac:dyDescent="0.25">
      <c r="A1" s="677" t="s">
        <v>633</v>
      </c>
      <c r="B1" s="677"/>
      <c r="C1" s="677"/>
      <c r="D1" s="677"/>
      <c r="E1" s="677"/>
      <c r="F1" s="677"/>
      <c r="G1" s="677"/>
      <c r="H1" s="677"/>
      <c r="I1" s="677"/>
    </row>
    <row r="2" spans="1:9" x14ac:dyDescent="0.25">
      <c r="A2" s="677" t="s">
        <v>1473</v>
      </c>
      <c r="B2" s="677"/>
      <c r="C2" s="677"/>
      <c r="D2" s="677"/>
      <c r="E2" s="677"/>
      <c r="F2" s="677"/>
      <c r="G2" s="677"/>
      <c r="H2" s="677"/>
      <c r="I2" s="677"/>
    </row>
    <row r="3" spans="1:9" x14ac:dyDescent="0.25">
      <c r="A3" s="677" t="s">
        <v>969</v>
      </c>
      <c r="B3" s="677"/>
      <c r="C3" s="677"/>
      <c r="D3" s="677"/>
      <c r="E3" s="677"/>
      <c r="F3" s="677"/>
      <c r="G3" s="677"/>
      <c r="H3" s="677"/>
      <c r="I3" s="677"/>
    </row>
    <row r="4" spans="1:9" x14ac:dyDescent="0.25">
      <c r="A4" s="466"/>
      <c r="B4" s="466"/>
      <c r="C4" s="466"/>
      <c r="D4" s="466"/>
      <c r="E4" s="466"/>
      <c r="F4" s="466"/>
      <c r="G4" s="466"/>
      <c r="H4" s="466"/>
    </row>
    <row r="5" spans="1:9" x14ac:dyDescent="0.25">
      <c r="A5" s="467" t="s">
        <v>1224</v>
      </c>
      <c r="B5" s="467"/>
      <c r="C5" s="467"/>
      <c r="D5" s="467"/>
      <c r="E5" s="467"/>
      <c r="F5" s="467"/>
      <c r="G5" s="51"/>
      <c r="H5" s="52"/>
    </row>
    <row r="6" spans="1:9" x14ac:dyDescent="0.25">
      <c r="A6" s="468"/>
      <c r="B6" s="469"/>
      <c r="C6" s="468"/>
      <c r="D6" s="468"/>
      <c r="E6" s="468"/>
      <c r="F6" s="468"/>
      <c r="G6" s="52"/>
      <c r="H6" s="52"/>
    </row>
    <row r="7" spans="1:9" x14ac:dyDescent="0.25">
      <c r="A7" s="53" t="s">
        <v>1225</v>
      </c>
      <c r="B7" s="53"/>
      <c r="C7" s="53"/>
      <c r="D7" s="468"/>
      <c r="E7" s="468"/>
      <c r="F7" s="468"/>
      <c r="G7" s="52"/>
      <c r="H7" s="52"/>
    </row>
    <row r="8" spans="1:9" ht="26.45" customHeight="1" x14ac:dyDescent="0.25">
      <c r="A8" s="41" t="s">
        <v>0</v>
      </c>
      <c r="B8" s="55" t="s">
        <v>35</v>
      </c>
      <c r="C8" s="55" t="s">
        <v>36</v>
      </c>
      <c r="D8" s="647" t="s">
        <v>632</v>
      </c>
      <c r="E8" s="647" t="s">
        <v>193</v>
      </c>
      <c r="F8" s="647" t="s">
        <v>222</v>
      </c>
      <c r="G8" s="647" t="s">
        <v>37</v>
      </c>
      <c r="H8" s="647" t="s">
        <v>1472</v>
      </c>
      <c r="I8" s="55" t="s">
        <v>186</v>
      </c>
    </row>
    <row r="9" spans="1:9" x14ac:dyDescent="0.25">
      <c r="A9" s="345">
        <v>1</v>
      </c>
      <c r="B9" s="264" t="s">
        <v>767</v>
      </c>
      <c r="C9" s="265" t="s">
        <v>768</v>
      </c>
      <c r="D9" s="212">
        <v>2500800</v>
      </c>
      <c r="E9" s="98" t="s">
        <v>259</v>
      </c>
      <c r="F9" s="98">
        <v>0</v>
      </c>
      <c r="G9" s="98">
        <v>500000</v>
      </c>
      <c r="H9" s="43">
        <f>D9+G9-F9</f>
        <v>3000800</v>
      </c>
      <c r="I9" s="48" t="s">
        <v>185</v>
      </c>
    </row>
    <row r="10" spans="1:9" x14ac:dyDescent="0.25">
      <c r="A10" s="345">
        <v>2</v>
      </c>
      <c r="B10" s="264" t="s">
        <v>769</v>
      </c>
      <c r="C10" s="265" t="s">
        <v>770</v>
      </c>
      <c r="D10" s="212">
        <v>700000</v>
      </c>
      <c r="E10" s="98" t="s">
        <v>259</v>
      </c>
      <c r="F10" s="98">
        <v>0</v>
      </c>
      <c r="G10" s="98">
        <v>70000</v>
      </c>
      <c r="H10" s="43">
        <f t="shared" ref="H10:H17" si="0">D10+G10</f>
        <v>770000</v>
      </c>
      <c r="I10" s="48" t="s">
        <v>185</v>
      </c>
    </row>
    <row r="11" spans="1:9" x14ac:dyDescent="0.25">
      <c r="A11" s="345">
        <v>3</v>
      </c>
      <c r="B11" s="264" t="s">
        <v>771</v>
      </c>
      <c r="C11" s="265" t="s">
        <v>772</v>
      </c>
      <c r="D11" s="212">
        <v>500000</v>
      </c>
      <c r="E11" s="98" t="s">
        <v>259</v>
      </c>
      <c r="F11" s="98" t="s">
        <v>259</v>
      </c>
      <c r="G11" s="98">
        <v>50000</v>
      </c>
      <c r="H11" s="43">
        <f t="shared" si="0"/>
        <v>550000</v>
      </c>
      <c r="I11" s="48" t="s">
        <v>185</v>
      </c>
    </row>
    <row r="12" spans="1:9" ht="22.5" x14ac:dyDescent="0.25">
      <c r="A12" s="345">
        <v>4</v>
      </c>
      <c r="B12" s="264" t="s">
        <v>773</v>
      </c>
      <c r="C12" s="265" t="s">
        <v>774</v>
      </c>
      <c r="D12" s="212">
        <v>565200</v>
      </c>
      <c r="E12" s="98">
        <v>0</v>
      </c>
      <c r="F12" s="98">
        <v>0</v>
      </c>
      <c r="G12" s="98">
        <v>50000</v>
      </c>
      <c r="H12" s="43">
        <f t="shared" si="0"/>
        <v>615200</v>
      </c>
      <c r="I12" s="48" t="s">
        <v>185</v>
      </c>
    </row>
    <row r="13" spans="1:9" x14ac:dyDescent="0.25">
      <c r="A13" s="345">
        <v>5</v>
      </c>
      <c r="B13" s="264" t="s">
        <v>775</v>
      </c>
      <c r="C13" s="265" t="s">
        <v>776</v>
      </c>
      <c r="D13" s="212">
        <v>1200000</v>
      </c>
      <c r="E13" s="98">
        <v>0</v>
      </c>
      <c r="F13" s="98">
        <v>0</v>
      </c>
      <c r="G13" s="98">
        <v>600000</v>
      </c>
      <c r="H13" s="43">
        <f t="shared" si="0"/>
        <v>1800000</v>
      </c>
      <c r="I13" s="48" t="s">
        <v>185</v>
      </c>
    </row>
    <row r="14" spans="1:9" ht="22.5" x14ac:dyDescent="0.25">
      <c r="A14" s="345">
        <v>6</v>
      </c>
      <c r="B14" s="264" t="s">
        <v>777</v>
      </c>
      <c r="C14" s="265" t="s">
        <v>778</v>
      </c>
      <c r="D14" s="212">
        <v>984000</v>
      </c>
      <c r="E14" s="98">
        <v>0</v>
      </c>
      <c r="F14" s="98">
        <v>0</v>
      </c>
      <c r="G14" s="98">
        <v>60000</v>
      </c>
      <c r="H14" s="43">
        <f t="shared" si="0"/>
        <v>1044000</v>
      </c>
      <c r="I14" s="48" t="s">
        <v>185</v>
      </c>
    </row>
    <row r="15" spans="1:9" x14ac:dyDescent="0.25">
      <c r="A15" s="345">
        <v>7</v>
      </c>
      <c r="B15" s="264" t="s">
        <v>779</v>
      </c>
      <c r="C15" s="265" t="s">
        <v>780</v>
      </c>
      <c r="D15" s="212">
        <v>1300000</v>
      </c>
      <c r="E15" s="98">
        <v>0</v>
      </c>
      <c r="F15" s="98">
        <v>0</v>
      </c>
      <c r="G15" s="98">
        <v>50000</v>
      </c>
      <c r="H15" s="43">
        <f t="shared" si="0"/>
        <v>1350000</v>
      </c>
      <c r="I15" s="48" t="s">
        <v>185</v>
      </c>
    </row>
    <row r="16" spans="1:9" x14ac:dyDescent="0.25">
      <c r="A16" s="345">
        <v>8</v>
      </c>
      <c r="B16" s="264" t="s">
        <v>781</v>
      </c>
      <c r="C16" s="265" t="s">
        <v>782</v>
      </c>
      <c r="D16" s="212">
        <v>2050000</v>
      </c>
      <c r="E16" s="98">
        <v>0</v>
      </c>
      <c r="F16" s="98">
        <v>0</v>
      </c>
      <c r="G16" s="98">
        <v>70000</v>
      </c>
      <c r="H16" s="43">
        <f t="shared" si="0"/>
        <v>2120000</v>
      </c>
      <c r="I16" s="48" t="s">
        <v>185</v>
      </c>
    </row>
    <row r="17" spans="1:9" x14ac:dyDescent="0.25">
      <c r="A17" s="345">
        <v>9</v>
      </c>
      <c r="B17" s="264" t="s">
        <v>783</v>
      </c>
      <c r="C17" s="265" t="s">
        <v>784</v>
      </c>
      <c r="D17" s="212">
        <v>1200000</v>
      </c>
      <c r="E17" s="359">
        <f>SUM(E9:E16)</f>
        <v>0</v>
      </c>
      <c r="F17" s="359">
        <f>SUM(F9:F16)</f>
        <v>0</v>
      </c>
      <c r="G17" s="194">
        <v>50000</v>
      </c>
      <c r="H17" s="43">
        <f t="shared" si="0"/>
        <v>1250000</v>
      </c>
      <c r="I17" s="48" t="s">
        <v>185</v>
      </c>
    </row>
    <row r="18" spans="1:9" x14ac:dyDescent="0.25">
      <c r="A18" s="30"/>
      <c r="B18" s="28"/>
      <c r="C18" s="346" t="s">
        <v>965</v>
      </c>
      <c r="D18" s="463">
        <f>SUM(D9:D17)</f>
        <v>11000000</v>
      </c>
      <c r="E18" s="495">
        <f t="shared" ref="E18:H18" si="1">SUM(E9:E17)</f>
        <v>0</v>
      </c>
      <c r="F18" s="495">
        <f t="shared" si="1"/>
        <v>0</v>
      </c>
      <c r="G18" s="463">
        <f t="shared" si="1"/>
        <v>1500000</v>
      </c>
      <c r="H18" s="463">
        <f t="shared" si="1"/>
        <v>12500000</v>
      </c>
      <c r="I18" s="48"/>
    </row>
    <row r="34" spans="1:9" x14ac:dyDescent="0.25">
      <c r="A34" s="677" t="s">
        <v>633</v>
      </c>
      <c r="B34" s="677"/>
      <c r="C34" s="677"/>
      <c r="D34" s="677"/>
      <c r="E34" s="677"/>
      <c r="F34" s="677"/>
      <c r="G34" s="677"/>
      <c r="H34" s="677"/>
      <c r="I34" s="677"/>
    </row>
    <row r="35" spans="1:9" x14ac:dyDescent="0.25">
      <c r="A35" s="677" t="s">
        <v>1473</v>
      </c>
      <c r="B35" s="677"/>
      <c r="C35" s="677"/>
      <c r="D35" s="677"/>
      <c r="E35" s="677"/>
      <c r="F35" s="677"/>
      <c r="G35" s="677"/>
      <c r="H35" s="677"/>
      <c r="I35" s="677"/>
    </row>
    <row r="36" spans="1:9" x14ac:dyDescent="0.25">
      <c r="A36" s="677" t="s">
        <v>969</v>
      </c>
      <c r="B36" s="677"/>
      <c r="C36" s="677"/>
      <c r="D36" s="677"/>
      <c r="E36" s="677"/>
      <c r="F36" s="677"/>
      <c r="G36" s="677"/>
      <c r="H36" s="677"/>
      <c r="I36" s="677"/>
    </row>
    <row r="37" spans="1:9" x14ac:dyDescent="0.25">
      <c r="A37" s="501"/>
      <c r="B37" s="501"/>
      <c r="C37" s="501"/>
      <c r="D37" s="501"/>
      <c r="E37" s="501"/>
      <c r="F37" s="501"/>
      <c r="G37" s="501"/>
      <c r="H37" s="501"/>
    </row>
    <row r="38" spans="1:9" x14ac:dyDescent="0.25">
      <c r="A38" s="467" t="s">
        <v>1445</v>
      </c>
      <c r="B38" s="467"/>
      <c r="C38" s="467"/>
      <c r="D38" s="467"/>
      <c r="E38" s="467"/>
      <c r="F38" s="467"/>
      <c r="G38" s="51"/>
      <c r="H38" s="52"/>
    </row>
    <row r="39" spans="1:9" x14ac:dyDescent="0.25">
      <c r="A39" s="468"/>
      <c r="B39" s="469"/>
      <c r="C39" s="468"/>
      <c r="D39" s="468"/>
      <c r="E39" s="468"/>
      <c r="F39" s="468"/>
      <c r="G39" s="52"/>
      <c r="H39" s="52"/>
    </row>
    <row r="40" spans="1:9" x14ac:dyDescent="0.25">
      <c r="A40" s="53" t="s">
        <v>1446</v>
      </c>
      <c r="B40" s="53"/>
      <c r="C40" s="53"/>
      <c r="D40" s="468"/>
      <c r="E40" s="468"/>
      <c r="F40" s="468"/>
      <c r="G40" s="52"/>
      <c r="H40" s="52"/>
    </row>
    <row r="41" spans="1:9" ht="26.45" customHeight="1" x14ac:dyDescent="0.25">
      <c r="A41" s="41" t="s">
        <v>0</v>
      </c>
      <c r="B41" s="55" t="s">
        <v>35</v>
      </c>
      <c r="C41" s="55" t="s">
        <v>36</v>
      </c>
      <c r="D41" s="55" t="s">
        <v>632</v>
      </c>
      <c r="E41" s="55" t="s">
        <v>193</v>
      </c>
      <c r="F41" s="55" t="s">
        <v>222</v>
      </c>
      <c r="G41" s="55" t="s">
        <v>37</v>
      </c>
      <c r="H41" s="647" t="s">
        <v>1472</v>
      </c>
      <c r="I41" s="55" t="s">
        <v>186</v>
      </c>
    </row>
    <row r="42" spans="1:9" x14ac:dyDescent="0.25">
      <c r="A42" s="345">
        <v>1</v>
      </c>
      <c r="B42" s="264" t="s">
        <v>767</v>
      </c>
      <c r="C42" s="265" t="s">
        <v>768</v>
      </c>
      <c r="D42" s="223">
        <v>0</v>
      </c>
      <c r="E42" s="98" t="s">
        <v>259</v>
      </c>
      <c r="F42" s="98">
        <v>0</v>
      </c>
      <c r="G42" s="98">
        <v>300000</v>
      </c>
      <c r="H42" s="43">
        <f>D42+G42-F42</f>
        <v>300000</v>
      </c>
      <c r="I42" s="48"/>
    </row>
    <row r="43" spans="1:9" x14ac:dyDescent="0.25">
      <c r="A43" s="345">
        <v>2</v>
      </c>
      <c r="B43" s="264" t="s">
        <v>769</v>
      </c>
      <c r="C43" s="265" t="s">
        <v>770</v>
      </c>
      <c r="D43" s="223">
        <v>0</v>
      </c>
      <c r="E43" s="98" t="s">
        <v>259</v>
      </c>
      <c r="F43" s="98">
        <v>0</v>
      </c>
      <c r="G43" s="98">
        <v>70000</v>
      </c>
      <c r="H43" s="43">
        <f t="shared" ref="H43:H50" si="2">D43+G43</f>
        <v>70000</v>
      </c>
      <c r="I43" s="48"/>
    </row>
    <row r="44" spans="1:9" x14ac:dyDescent="0.25">
      <c r="A44" s="345">
        <v>3</v>
      </c>
      <c r="B44" s="264" t="s">
        <v>771</v>
      </c>
      <c r="C44" s="265" t="s">
        <v>772</v>
      </c>
      <c r="D44" s="223">
        <v>0</v>
      </c>
      <c r="E44" s="98" t="s">
        <v>259</v>
      </c>
      <c r="F44" s="98" t="s">
        <v>259</v>
      </c>
      <c r="G44" s="98">
        <v>80000</v>
      </c>
      <c r="H44" s="43">
        <f t="shared" si="2"/>
        <v>80000</v>
      </c>
      <c r="I44" s="48"/>
    </row>
    <row r="45" spans="1:9" ht="22.5" x14ac:dyDescent="0.25">
      <c r="A45" s="345">
        <v>4</v>
      </c>
      <c r="B45" s="264" t="s">
        <v>773</v>
      </c>
      <c r="C45" s="265" t="s">
        <v>774</v>
      </c>
      <c r="D45" s="223">
        <v>0</v>
      </c>
      <c r="E45" s="98">
        <v>0</v>
      </c>
      <c r="F45" s="98">
        <v>0</v>
      </c>
      <c r="G45" s="98">
        <v>700000</v>
      </c>
      <c r="H45" s="43">
        <f t="shared" si="2"/>
        <v>700000</v>
      </c>
      <c r="I45" s="48"/>
    </row>
    <row r="46" spans="1:9" x14ac:dyDescent="0.25">
      <c r="A46" s="345">
        <v>5</v>
      </c>
      <c r="B46" s="264" t="s">
        <v>775</v>
      </c>
      <c r="C46" s="265" t="s">
        <v>776</v>
      </c>
      <c r="D46" s="223">
        <v>0</v>
      </c>
      <c r="E46" s="98">
        <v>0</v>
      </c>
      <c r="F46" s="98">
        <v>0</v>
      </c>
      <c r="G46" s="98">
        <v>850000</v>
      </c>
      <c r="H46" s="43">
        <f t="shared" si="2"/>
        <v>850000</v>
      </c>
      <c r="I46" s="48"/>
    </row>
    <row r="47" spans="1:9" ht="22.5" x14ac:dyDescent="0.25">
      <c r="A47" s="345">
        <v>6</v>
      </c>
      <c r="B47" s="264" t="s">
        <v>777</v>
      </c>
      <c r="C47" s="265" t="s">
        <v>778</v>
      </c>
      <c r="D47" s="223">
        <v>0</v>
      </c>
      <c r="E47" s="98">
        <v>0</v>
      </c>
      <c r="F47" s="98">
        <v>0</v>
      </c>
      <c r="G47" s="98">
        <v>500000</v>
      </c>
      <c r="H47" s="43">
        <f t="shared" si="2"/>
        <v>500000</v>
      </c>
      <c r="I47" s="48"/>
    </row>
    <row r="48" spans="1:9" x14ac:dyDescent="0.25">
      <c r="A48" s="345">
        <v>7</v>
      </c>
      <c r="B48" s="264" t="s">
        <v>779</v>
      </c>
      <c r="C48" s="265" t="s">
        <v>780</v>
      </c>
      <c r="D48" s="223">
        <v>0</v>
      </c>
      <c r="E48" s="98">
        <v>0</v>
      </c>
      <c r="F48" s="98">
        <v>0</v>
      </c>
      <c r="G48" s="98">
        <v>200000</v>
      </c>
      <c r="H48" s="43">
        <f t="shared" si="2"/>
        <v>200000</v>
      </c>
      <c r="I48" s="48"/>
    </row>
    <row r="49" spans="1:9" x14ac:dyDescent="0.25">
      <c r="A49" s="345">
        <v>8</v>
      </c>
      <c r="B49" s="264" t="s">
        <v>781</v>
      </c>
      <c r="C49" s="640" t="s">
        <v>1442</v>
      </c>
      <c r="D49" s="223">
        <v>0</v>
      </c>
      <c r="E49" s="98">
        <v>0</v>
      </c>
      <c r="F49" s="98">
        <v>0</v>
      </c>
      <c r="G49" s="98">
        <v>200000</v>
      </c>
      <c r="H49" s="43">
        <f t="shared" si="2"/>
        <v>200000</v>
      </c>
      <c r="I49" s="48"/>
    </row>
    <row r="50" spans="1:9" x14ac:dyDescent="0.25">
      <c r="A50" s="345">
        <v>9</v>
      </c>
      <c r="B50" s="264" t="s">
        <v>785</v>
      </c>
      <c r="C50" s="265" t="s">
        <v>786</v>
      </c>
      <c r="D50" s="223">
        <v>0</v>
      </c>
      <c r="E50" s="359">
        <f>SUM(E42:E49)</f>
        <v>0</v>
      </c>
      <c r="F50" s="359">
        <f>SUM(F42:F49)</f>
        <v>0</v>
      </c>
      <c r="G50" s="194">
        <v>1100000</v>
      </c>
      <c r="H50" s="43">
        <f t="shared" si="2"/>
        <v>1100000</v>
      </c>
      <c r="I50" s="48"/>
    </row>
    <row r="51" spans="1:9" x14ac:dyDescent="0.25">
      <c r="A51" s="30"/>
      <c r="B51" s="28"/>
      <c r="C51" s="346" t="s">
        <v>965</v>
      </c>
      <c r="D51" s="495">
        <f>SUM(D42:D50)</f>
        <v>0</v>
      </c>
      <c r="E51" s="495">
        <f>SUM(E42:E50)</f>
        <v>0</v>
      </c>
      <c r="F51" s="495">
        <f>SUM(F42:F50)</f>
        <v>0</v>
      </c>
      <c r="G51" s="463">
        <f>SUM(G42:G50)</f>
        <v>4000000</v>
      </c>
      <c r="H51" s="463">
        <f>SUM(H42:H50)</f>
        <v>4000000</v>
      </c>
      <c r="I51" s="48"/>
    </row>
    <row r="66" spans="1:9" x14ac:dyDescent="0.25">
      <c r="A66" s="677" t="s">
        <v>633</v>
      </c>
      <c r="B66" s="677"/>
      <c r="C66" s="677"/>
      <c r="D66" s="677"/>
      <c r="E66" s="677"/>
      <c r="F66" s="677"/>
      <c r="G66" s="677"/>
      <c r="H66" s="677"/>
      <c r="I66" s="677"/>
    </row>
    <row r="67" spans="1:9" x14ac:dyDescent="0.25">
      <c r="A67" s="677" t="s">
        <v>1473</v>
      </c>
      <c r="B67" s="677"/>
      <c r="C67" s="677"/>
      <c r="D67" s="677"/>
      <c r="E67" s="677"/>
      <c r="F67" s="677"/>
      <c r="G67" s="677"/>
      <c r="H67" s="677"/>
      <c r="I67" s="677"/>
    </row>
    <row r="68" spans="1:9" x14ac:dyDescent="0.25">
      <c r="A68" s="677" t="s">
        <v>969</v>
      </c>
      <c r="B68" s="677"/>
      <c r="C68" s="677"/>
      <c r="D68" s="677"/>
      <c r="E68" s="677"/>
      <c r="F68" s="677"/>
      <c r="G68" s="677"/>
      <c r="H68" s="677"/>
      <c r="I68" s="677"/>
    </row>
    <row r="69" spans="1:9" x14ac:dyDescent="0.25">
      <c r="A69" s="321"/>
      <c r="B69" s="321"/>
      <c r="C69" s="321"/>
      <c r="D69" s="321"/>
      <c r="E69" s="321"/>
      <c r="F69" s="321"/>
      <c r="G69" s="321"/>
      <c r="H69" s="321"/>
    </row>
    <row r="70" spans="1:9" x14ac:dyDescent="0.25">
      <c r="A70" s="467" t="s">
        <v>1204</v>
      </c>
      <c r="B70" s="467"/>
      <c r="C70" s="467"/>
      <c r="D70" s="467"/>
      <c r="E70" s="467"/>
      <c r="F70" s="467"/>
      <c r="G70" s="51"/>
      <c r="H70" s="52"/>
    </row>
    <row r="71" spans="1:9" x14ac:dyDescent="0.25">
      <c r="A71" s="468"/>
      <c r="B71" s="469"/>
      <c r="C71" s="468"/>
      <c r="D71" s="468"/>
      <c r="E71" s="468"/>
      <c r="F71" s="468"/>
      <c r="G71" s="52"/>
      <c r="H71" s="52"/>
    </row>
    <row r="72" spans="1:9" x14ac:dyDescent="0.25">
      <c r="A72" s="53" t="s">
        <v>1201</v>
      </c>
      <c r="B72" s="53"/>
      <c r="C72" s="53"/>
      <c r="D72" s="468"/>
      <c r="E72" s="468"/>
      <c r="F72" s="468"/>
      <c r="G72" s="52"/>
      <c r="H72" s="52"/>
    </row>
    <row r="73" spans="1:9" ht="26.45" customHeight="1" x14ac:dyDescent="0.25">
      <c r="A73" s="41" t="s">
        <v>0</v>
      </c>
      <c r="B73" s="54" t="s">
        <v>35</v>
      </c>
      <c r="C73" s="54" t="s">
        <v>36</v>
      </c>
      <c r="D73" s="54" t="s">
        <v>632</v>
      </c>
      <c r="E73" s="54" t="s">
        <v>193</v>
      </c>
      <c r="F73" s="54" t="s">
        <v>222</v>
      </c>
      <c r="G73" s="55" t="s">
        <v>37</v>
      </c>
      <c r="H73" s="55" t="s">
        <v>1472</v>
      </c>
      <c r="I73" s="55" t="s">
        <v>186</v>
      </c>
    </row>
    <row r="74" spans="1:9" x14ac:dyDescent="0.25">
      <c r="A74" s="345">
        <v>1</v>
      </c>
      <c r="B74" s="264" t="s">
        <v>767</v>
      </c>
      <c r="C74" s="265" t="s">
        <v>768</v>
      </c>
      <c r="D74" s="223">
        <v>0</v>
      </c>
      <c r="E74" s="98" t="s">
        <v>259</v>
      </c>
      <c r="F74" s="98">
        <v>0</v>
      </c>
      <c r="G74" s="98">
        <v>900000</v>
      </c>
      <c r="H74" s="43">
        <f>D74+G74-F74</f>
        <v>900000</v>
      </c>
      <c r="I74" s="48" t="s">
        <v>185</v>
      </c>
    </row>
    <row r="75" spans="1:9" x14ac:dyDescent="0.25">
      <c r="A75" s="345">
        <v>2</v>
      </c>
      <c r="B75" s="264" t="s">
        <v>769</v>
      </c>
      <c r="C75" s="265" t="s">
        <v>770</v>
      </c>
      <c r="D75" s="223">
        <v>0</v>
      </c>
      <c r="E75" s="98" t="s">
        <v>259</v>
      </c>
      <c r="F75" s="98">
        <v>0</v>
      </c>
      <c r="G75" s="98">
        <v>150000</v>
      </c>
      <c r="H75" s="43">
        <f t="shared" ref="H75:H83" si="3">D75+G75</f>
        <v>150000</v>
      </c>
      <c r="I75" s="48" t="s">
        <v>185</v>
      </c>
    </row>
    <row r="76" spans="1:9" x14ac:dyDescent="0.25">
      <c r="A76" s="345">
        <v>3</v>
      </c>
      <c r="B76" s="264" t="s">
        <v>771</v>
      </c>
      <c r="C76" s="265" t="s">
        <v>772</v>
      </c>
      <c r="D76" s="223">
        <v>0</v>
      </c>
      <c r="E76" s="98" t="s">
        <v>259</v>
      </c>
      <c r="F76" s="98" t="s">
        <v>259</v>
      </c>
      <c r="G76" s="98">
        <v>100000</v>
      </c>
      <c r="H76" s="43">
        <f t="shared" si="3"/>
        <v>100000</v>
      </c>
      <c r="I76" s="48" t="s">
        <v>185</v>
      </c>
    </row>
    <row r="77" spans="1:9" ht="22.5" x14ac:dyDescent="0.25">
      <c r="A77" s="345">
        <v>4</v>
      </c>
      <c r="B77" s="264" t="s">
        <v>773</v>
      </c>
      <c r="C77" s="265" t="s">
        <v>774</v>
      </c>
      <c r="D77" s="223">
        <v>0</v>
      </c>
      <c r="E77" s="98">
        <v>0</v>
      </c>
      <c r="F77" s="98">
        <v>0</v>
      </c>
      <c r="G77" s="98">
        <v>280000</v>
      </c>
      <c r="H77" s="43">
        <f t="shared" si="3"/>
        <v>280000</v>
      </c>
      <c r="I77" s="48" t="s">
        <v>185</v>
      </c>
    </row>
    <row r="78" spans="1:9" x14ac:dyDescent="0.25">
      <c r="A78" s="345">
        <v>5</v>
      </c>
      <c r="B78" s="264" t="s">
        <v>775</v>
      </c>
      <c r="C78" s="265" t="s">
        <v>776</v>
      </c>
      <c r="D78" s="223">
        <v>0</v>
      </c>
      <c r="E78" s="98">
        <v>0</v>
      </c>
      <c r="F78" s="98">
        <v>0</v>
      </c>
      <c r="G78" s="98">
        <v>1275000</v>
      </c>
      <c r="H78" s="43">
        <f t="shared" si="3"/>
        <v>1275000</v>
      </c>
      <c r="I78" s="48" t="s">
        <v>185</v>
      </c>
    </row>
    <row r="79" spans="1:9" x14ac:dyDescent="0.25">
      <c r="A79" s="345">
        <v>7</v>
      </c>
      <c r="B79" s="264" t="s">
        <v>779</v>
      </c>
      <c r="C79" s="265" t="s">
        <v>780</v>
      </c>
      <c r="D79" s="223">
        <v>0</v>
      </c>
      <c r="E79" s="98">
        <v>0</v>
      </c>
      <c r="F79" s="98">
        <v>0</v>
      </c>
      <c r="G79" s="98">
        <v>500000</v>
      </c>
      <c r="H79" s="43">
        <f t="shared" si="3"/>
        <v>500000</v>
      </c>
      <c r="I79" s="48" t="s">
        <v>185</v>
      </c>
    </row>
    <row r="80" spans="1:9" x14ac:dyDescent="0.25">
      <c r="A80" s="345">
        <v>8</v>
      </c>
      <c r="B80" s="264" t="s">
        <v>781</v>
      </c>
      <c r="C80" s="265" t="s">
        <v>782</v>
      </c>
      <c r="D80" s="223">
        <v>0</v>
      </c>
      <c r="E80" s="98">
        <v>0</v>
      </c>
      <c r="F80" s="98">
        <v>0</v>
      </c>
      <c r="G80" s="98">
        <v>150000</v>
      </c>
      <c r="H80" s="43">
        <f t="shared" si="3"/>
        <v>150000</v>
      </c>
      <c r="I80" s="48" t="s">
        <v>185</v>
      </c>
    </row>
    <row r="81" spans="1:9" x14ac:dyDescent="0.25">
      <c r="A81" s="345">
        <v>9</v>
      </c>
      <c r="B81" s="264" t="s">
        <v>970</v>
      </c>
      <c r="C81" s="265" t="s">
        <v>971</v>
      </c>
      <c r="D81" s="223">
        <v>0</v>
      </c>
      <c r="E81" s="98">
        <v>0</v>
      </c>
      <c r="F81" s="98">
        <v>0</v>
      </c>
      <c r="G81" s="98">
        <v>445000</v>
      </c>
      <c r="H81" s="43">
        <f t="shared" si="3"/>
        <v>445000</v>
      </c>
      <c r="I81" s="48" t="s">
        <v>185</v>
      </c>
    </row>
    <row r="82" spans="1:9" x14ac:dyDescent="0.25">
      <c r="A82" s="345">
        <v>10</v>
      </c>
      <c r="B82" s="264" t="s">
        <v>783</v>
      </c>
      <c r="C82" s="265" t="s">
        <v>784</v>
      </c>
      <c r="D82" s="223">
        <v>0</v>
      </c>
      <c r="E82" s="98">
        <v>0</v>
      </c>
      <c r="F82" s="98">
        <v>0</v>
      </c>
      <c r="G82" s="98">
        <v>100000</v>
      </c>
      <c r="H82" s="43">
        <f t="shared" si="3"/>
        <v>100000</v>
      </c>
      <c r="I82" s="48" t="s">
        <v>185</v>
      </c>
    </row>
    <row r="83" spans="1:9" x14ac:dyDescent="0.25">
      <c r="A83" s="345">
        <v>11</v>
      </c>
      <c r="B83" s="264" t="s">
        <v>785</v>
      </c>
      <c r="C83" s="265" t="s">
        <v>786</v>
      </c>
      <c r="D83" s="223">
        <v>0</v>
      </c>
      <c r="E83" s="98">
        <v>0</v>
      </c>
      <c r="F83" s="98">
        <v>0</v>
      </c>
      <c r="G83" s="98">
        <v>100000</v>
      </c>
      <c r="H83" s="43">
        <f t="shared" si="3"/>
        <v>100000</v>
      </c>
      <c r="I83" s="48" t="s">
        <v>185</v>
      </c>
    </row>
    <row r="84" spans="1:9" x14ac:dyDescent="0.25">
      <c r="A84" s="30"/>
      <c r="B84" s="28"/>
      <c r="C84" s="346" t="s">
        <v>965</v>
      </c>
      <c r="D84" s="359">
        <f>SUM(D74:D83)</f>
        <v>0</v>
      </c>
      <c r="E84" s="359">
        <f>SUM(E74:E83)</f>
        <v>0</v>
      </c>
      <c r="F84" s="359">
        <f>SUM(F74:F83)</f>
        <v>0</v>
      </c>
      <c r="G84" s="195">
        <f>SUM(G74:G83)</f>
        <v>4000000</v>
      </c>
      <c r="H84" s="195">
        <f>SUM(H74:H83)</f>
        <v>4000000</v>
      </c>
      <c r="I84" s="30"/>
    </row>
    <row r="99" spans="1:9" x14ac:dyDescent="0.25">
      <c r="A99" s="677" t="s">
        <v>633</v>
      </c>
      <c r="B99" s="677"/>
      <c r="C99" s="677"/>
      <c r="D99" s="677"/>
      <c r="E99" s="677"/>
      <c r="F99" s="677"/>
      <c r="G99" s="677"/>
      <c r="H99" s="677"/>
      <c r="I99" s="677"/>
    </row>
    <row r="100" spans="1:9" x14ac:dyDescent="0.25">
      <c r="A100" s="677" t="s">
        <v>1473</v>
      </c>
      <c r="B100" s="677"/>
      <c r="C100" s="677"/>
      <c r="D100" s="677"/>
      <c r="E100" s="677"/>
      <c r="F100" s="677"/>
      <c r="G100" s="677"/>
      <c r="H100" s="677"/>
      <c r="I100" s="677"/>
    </row>
    <row r="101" spans="1:9" x14ac:dyDescent="0.25">
      <c r="A101" s="677" t="s">
        <v>969</v>
      </c>
      <c r="B101" s="677"/>
      <c r="C101" s="677"/>
      <c r="D101" s="677"/>
      <c r="E101" s="677"/>
      <c r="F101" s="677"/>
      <c r="G101" s="677"/>
      <c r="H101" s="677"/>
      <c r="I101" s="677"/>
    </row>
    <row r="102" spans="1:9" x14ac:dyDescent="0.25">
      <c r="A102" s="391"/>
      <c r="B102" s="391"/>
      <c r="C102" s="391"/>
      <c r="D102" s="391"/>
      <c r="E102" s="391"/>
      <c r="F102" s="391"/>
      <c r="G102" s="391"/>
      <c r="H102" s="391"/>
    </row>
    <row r="103" spans="1:9" x14ac:dyDescent="0.25">
      <c r="A103" s="467" t="s">
        <v>1202</v>
      </c>
      <c r="B103" s="467"/>
      <c r="C103" s="467"/>
      <c r="D103" s="467"/>
      <c r="E103" s="51"/>
      <c r="F103" s="51"/>
      <c r="G103" s="51"/>
      <c r="H103" s="52"/>
    </row>
    <row r="104" spans="1:9" x14ac:dyDescent="0.25">
      <c r="A104" s="468"/>
      <c r="B104" s="469"/>
      <c r="C104" s="468"/>
      <c r="D104" s="468"/>
      <c r="E104" s="52"/>
      <c r="F104" s="52"/>
      <c r="G104" s="52"/>
      <c r="H104" s="52"/>
    </row>
    <row r="105" spans="1:9" x14ac:dyDescent="0.25">
      <c r="A105" s="53" t="s">
        <v>1203</v>
      </c>
      <c r="B105" s="53"/>
      <c r="C105" s="53"/>
      <c r="D105" s="468"/>
      <c r="E105" s="52"/>
      <c r="F105" s="52"/>
      <c r="G105" s="52"/>
      <c r="H105" s="52"/>
    </row>
    <row r="106" spans="1:9" ht="26.45" customHeight="1" x14ac:dyDescent="0.25">
      <c r="A106" s="41" t="s">
        <v>0</v>
      </c>
      <c r="B106" s="54" t="s">
        <v>35</v>
      </c>
      <c r="C106" s="54" t="s">
        <v>36</v>
      </c>
      <c r="D106" s="54" t="s">
        <v>632</v>
      </c>
      <c r="E106" s="54" t="s">
        <v>193</v>
      </c>
      <c r="F106" s="54" t="s">
        <v>222</v>
      </c>
      <c r="G106" s="55" t="s">
        <v>37</v>
      </c>
      <c r="H106" s="55" t="s">
        <v>1472</v>
      </c>
      <c r="I106" s="55" t="s">
        <v>186</v>
      </c>
    </row>
    <row r="107" spans="1:9" x14ac:dyDescent="0.25">
      <c r="A107" s="345">
        <v>1</v>
      </c>
      <c r="B107" s="264" t="s">
        <v>767</v>
      </c>
      <c r="C107" s="265" t="s">
        <v>768</v>
      </c>
      <c r="D107" s="223">
        <v>0</v>
      </c>
      <c r="E107" s="98" t="s">
        <v>259</v>
      </c>
      <c r="F107" s="98">
        <v>0</v>
      </c>
      <c r="G107" s="98">
        <v>700000</v>
      </c>
      <c r="H107" s="43">
        <f>D107+G107-F107</f>
        <v>700000</v>
      </c>
      <c r="I107" s="48" t="s">
        <v>185</v>
      </c>
    </row>
    <row r="108" spans="1:9" x14ac:dyDescent="0.25">
      <c r="A108" s="345">
        <v>2</v>
      </c>
      <c r="B108" s="264" t="s">
        <v>769</v>
      </c>
      <c r="C108" s="265" t="s">
        <v>770</v>
      </c>
      <c r="D108" s="223">
        <v>0</v>
      </c>
      <c r="E108" s="98" t="s">
        <v>259</v>
      </c>
      <c r="F108" s="98">
        <v>0</v>
      </c>
      <c r="G108" s="98">
        <v>300000</v>
      </c>
      <c r="H108" s="43">
        <f t="shared" ref="H108:H116" si="4">D108+G108</f>
        <v>300000</v>
      </c>
      <c r="I108" s="48" t="s">
        <v>185</v>
      </c>
    </row>
    <row r="109" spans="1:9" x14ac:dyDescent="0.25">
      <c r="A109" s="345">
        <v>3</v>
      </c>
      <c r="B109" s="264" t="s">
        <v>771</v>
      </c>
      <c r="C109" s="265" t="s">
        <v>772</v>
      </c>
      <c r="D109" s="223">
        <v>0</v>
      </c>
      <c r="E109" s="98" t="s">
        <v>259</v>
      </c>
      <c r="F109" s="98" t="s">
        <v>259</v>
      </c>
      <c r="G109" s="98">
        <v>300000</v>
      </c>
      <c r="H109" s="43">
        <f t="shared" si="4"/>
        <v>300000</v>
      </c>
      <c r="I109" s="48" t="s">
        <v>185</v>
      </c>
    </row>
    <row r="110" spans="1:9" ht="22.5" x14ac:dyDescent="0.25">
      <c r="A110" s="345">
        <v>4</v>
      </c>
      <c r="B110" s="264" t="s">
        <v>773</v>
      </c>
      <c r="C110" s="265" t="s">
        <v>774</v>
      </c>
      <c r="D110" s="223">
        <v>0</v>
      </c>
      <c r="E110" s="98">
        <v>0</v>
      </c>
      <c r="F110" s="98">
        <v>0</v>
      </c>
      <c r="G110" s="98">
        <v>500000</v>
      </c>
      <c r="H110" s="43">
        <f t="shared" si="4"/>
        <v>500000</v>
      </c>
      <c r="I110" s="48" t="s">
        <v>185</v>
      </c>
    </row>
    <row r="111" spans="1:9" ht="22.5" x14ac:dyDescent="0.25">
      <c r="A111" s="345">
        <v>5</v>
      </c>
      <c r="B111" s="264" t="s">
        <v>777</v>
      </c>
      <c r="C111" s="265" t="s">
        <v>778</v>
      </c>
      <c r="D111" s="223">
        <v>0</v>
      </c>
      <c r="E111" s="98">
        <v>0</v>
      </c>
      <c r="F111" s="98">
        <v>0</v>
      </c>
      <c r="G111" s="98">
        <v>700000</v>
      </c>
      <c r="H111" s="43">
        <f t="shared" si="4"/>
        <v>700000</v>
      </c>
      <c r="I111" s="48" t="s">
        <v>185</v>
      </c>
    </row>
    <row r="112" spans="1:9" x14ac:dyDescent="0.25">
      <c r="A112" s="345">
        <v>7</v>
      </c>
      <c r="B112" s="264" t="s">
        <v>779</v>
      </c>
      <c r="C112" s="265" t="s">
        <v>780</v>
      </c>
      <c r="D112" s="223">
        <v>0</v>
      </c>
      <c r="E112" s="98">
        <v>0</v>
      </c>
      <c r="F112" s="98">
        <v>0</v>
      </c>
      <c r="G112" s="98">
        <v>500000</v>
      </c>
      <c r="H112" s="43">
        <f t="shared" si="4"/>
        <v>500000</v>
      </c>
      <c r="I112" s="48" t="s">
        <v>185</v>
      </c>
    </row>
    <row r="113" spans="1:9" x14ac:dyDescent="0.25">
      <c r="A113" s="345">
        <v>8</v>
      </c>
      <c r="B113" s="264" t="s">
        <v>781</v>
      </c>
      <c r="C113" s="265" t="s">
        <v>782</v>
      </c>
      <c r="D113" s="223">
        <v>0</v>
      </c>
      <c r="E113" s="98">
        <v>0</v>
      </c>
      <c r="F113" s="98">
        <v>0</v>
      </c>
      <c r="G113" s="98">
        <v>700000</v>
      </c>
      <c r="H113" s="43">
        <f t="shared" si="4"/>
        <v>700000</v>
      </c>
      <c r="I113" s="48" t="s">
        <v>185</v>
      </c>
    </row>
    <row r="114" spans="1:9" x14ac:dyDescent="0.25">
      <c r="A114" s="345">
        <v>9</v>
      </c>
      <c r="B114" s="264" t="s">
        <v>970</v>
      </c>
      <c r="C114" s="265" t="s">
        <v>971</v>
      </c>
      <c r="D114" s="223">
        <v>0</v>
      </c>
      <c r="E114" s="98">
        <v>0</v>
      </c>
      <c r="F114" s="98">
        <v>0</v>
      </c>
      <c r="G114" s="98">
        <v>0</v>
      </c>
      <c r="H114" s="43">
        <f t="shared" si="4"/>
        <v>0</v>
      </c>
      <c r="I114" s="48"/>
    </row>
    <row r="115" spans="1:9" x14ac:dyDescent="0.25">
      <c r="A115" s="345">
        <v>10</v>
      </c>
      <c r="B115" s="264" t="s">
        <v>783</v>
      </c>
      <c r="C115" s="265" t="s">
        <v>784</v>
      </c>
      <c r="D115" s="223">
        <v>0</v>
      </c>
      <c r="E115" s="98">
        <v>0</v>
      </c>
      <c r="F115" s="98">
        <v>0</v>
      </c>
      <c r="G115" s="98">
        <v>200000</v>
      </c>
      <c r="H115" s="43">
        <f t="shared" si="4"/>
        <v>200000</v>
      </c>
      <c r="I115" s="48" t="s">
        <v>185</v>
      </c>
    </row>
    <row r="116" spans="1:9" x14ac:dyDescent="0.25">
      <c r="A116" s="345">
        <v>11</v>
      </c>
      <c r="B116" s="264" t="s">
        <v>785</v>
      </c>
      <c r="C116" s="265" t="s">
        <v>786</v>
      </c>
      <c r="D116" s="223">
        <v>0</v>
      </c>
      <c r="E116" s="98">
        <v>0</v>
      </c>
      <c r="F116" s="98">
        <v>0</v>
      </c>
      <c r="G116" s="98">
        <v>100000</v>
      </c>
      <c r="H116" s="43">
        <f t="shared" si="4"/>
        <v>100000</v>
      </c>
      <c r="I116" s="48" t="s">
        <v>185</v>
      </c>
    </row>
    <row r="117" spans="1:9" x14ac:dyDescent="0.25">
      <c r="A117" s="30"/>
      <c r="B117" s="28"/>
      <c r="C117" s="346" t="s">
        <v>965</v>
      </c>
      <c r="D117" s="359">
        <f>SUM(D107:D116)</f>
        <v>0</v>
      </c>
      <c r="E117" s="359">
        <f>SUM(E107:E116)</f>
        <v>0</v>
      </c>
      <c r="F117" s="359">
        <f>SUM(F107:F116)</f>
        <v>0</v>
      </c>
      <c r="G117" s="195">
        <f>SUM(G107:G116)</f>
        <v>4000000</v>
      </c>
      <c r="H117" s="195">
        <f>SUM(H107:H116)</f>
        <v>4000000</v>
      </c>
      <c r="I117" s="30"/>
    </row>
    <row r="131" spans="1:9" x14ac:dyDescent="0.25">
      <c r="A131" s="677" t="s">
        <v>633</v>
      </c>
      <c r="B131" s="677"/>
      <c r="C131" s="677"/>
      <c r="D131" s="677"/>
      <c r="E131" s="677"/>
      <c r="F131" s="677"/>
      <c r="G131" s="677"/>
      <c r="H131" s="677"/>
      <c r="I131" s="677"/>
    </row>
    <row r="132" spans="1:9" x14ac:dyDescent="0.25">
      <c r="A132" s="677" t="s">
        <v>1473</v>
      </c>
      <c r="B132" s="677"/>
      <c r="C132" s="677"/>
      <c r="D132" s="677"/>
      <c r="E132" s="677"/>
      <c r="F132" s="677"/>
      <c r="G132" s="677"/>
      <c r="H132" s="677"/>
      <c r="I132" s="677"/>
    </row>
    <row r="133" spans="1:9" x14ac:dyDescent="0.25">
      <c r="A133" s="677" t="s">
        <v>969</v>
      </c>
      <c r="B133" s="677"/>
      <c r="C133" s="677"/>
      <c r="D133" s="677"/>
      <c r="E133" s="677"/>
      <c r="F133" s="677"/>
      <c r="G133" s="677"/>
      <c r="H133" s="677"/>
      <c r="I133" s="677"/>
    </row>
    <row r="134" spans="1:9" x14ac:dyDescent="0.25">
      <c r="A134" s="321"/>
      <c r="B134" s="321"/>
      <c r="C134" s="321"/>
      <c r="D134" s="321"/>
      <c r="E134" s="321"/>
      <c r="F134" s="321"/>
      <c r="G134" s="321"/>
      <c r="H134" s="321"/>
    </row>
    <row r="135" spans="1:9" x14ac:dyDescent="0.25">
      <c r="A135" s="51" t="s">
        <v>1196</v>
      </c>
      <c r="B135" s="51"/>
      <c r="C135" s="51"/>
      <c r="D135" s="51"/>
      <c r="E135" s="51"/>
      <c r="F135" s="51"/>
      <c r="G135" s="51"/>
      <c r="H135" s="52"/>
    </row>
    <row r="136" spans="1:9" x14ac:dyDescent="0.25">
      <c r="A136" s="52"/>
      <c r="B136" s="321"/>
      <c r="C136" s="52"/>
      <c r="D136" s="52"/>
      <c r="E136" s="52"/>
      <c r="F136" s="52"/>
      <c r="G136" s="52"/>
      <c r="H136" s="52"/>
    </row>
    <row r="137" spans="1:9" x14ac:dyDescent="0.25">
      <c r="A137" s="53" t="s">
        <v>1194</v>
      </c>
      <c r="B137" s="53"/>
      <c r="C137" s="53"/>
      <c r="D137" s="52"/>
      <c r="E137" s="52"/>
      <c r="F137" s="52"/>
      <c r="G137" s="52"/>
      <c r="H137" s="52"/>
    </row>
    <row r="138" spans="1:9" ht="26.45" customHeight="1" x14ac:dyDescent="0.25">
      <c r="A138" s="41" t="s">
        <v>0</v>
      </c>
      <c r="B138" s="54" t="s">
        <v>35</v>
      </c>
      <c r="C138" s="54" t="s">
        <v>36</v>
      </c>
      <c r="D138" s="54" t="s">
        <v>632</v>
      </c>
      <c r="E138" s="54" t="s">
        <v>193</v>
      </c>
      <c r="F138" s="54" t="s">
        <v>222</v>
      </c>
      <c r="G138" s="55" t="s">
        <v>37</v>
      </c>
      <c r="H138" s="55" t="s">
        <v>1472</v>
      </c>
      <c r="I138" s="55" t="s">
        <v>186</v>
      </c>
    </row>
    <row r="139" spans="1:9" x14ac:dyDescent="0.25">
      <c r="A139" s="345">
        <v>1</v>
      </c>
      <c r="B139" s="264" t="s">
        <v>767</v>
      </c>
      <c r="C139" s="265" t="s">
        <v>768</v>
      </c>
      <c r="D139" s="223">
        <v>0</v>
      </c>
      <c r="E139" s="98" t="s">
        <v>259</v>
      </c>
      <c r="F139" s="98">
        <v>0</v>
      </c>
      <c r="G139" s="98">
        <v>1000000</v>
      </c>
      <c r="H139" s="43">
        <f>D139+G139-F139</f>
        <v>1000000</v>
      </c>
      <c r="I139" s="48" t="s">
        <v>185</v>
      </c>
    </row>
    <row r="140" spans="1:9" x14ac:dyDescent="0.25">
      <c r="A140" s="345">
        <v>2</v>
      </c>
      <c r="B140" s="264" t="s">
        <v>769</v>
      </c>
      <c r="C140" s="265" t="s">
        <v>770</v>
      </c>
      <c r="D140" s="223">
        <v>0</v>
      </c>
      <c r="E140" s="98" t="s">
        <v>259</v>
      </c>
      <c r="F140" s="98">
        <v>0</v>
      </c>
      <c r="G140" s="98"/>
      <c r="H140" s="43">
        <f t="shared" ref="H140:H148" si="5">D140+G140</f>
        <v>0</v>
      </c>
      <c r="I140" s="48"/>
    </row>
    <row r="141" spans="1:9" x14ac:dyDescent="0.25">
      <c r="A141" s="345">
        <v>3</v>
      </c>
      <c r="B141" s="264" t="s">
        <v>771</v>
      </c>
      <c r="C141" s="265" t="s">
        <v>772</v>
      </c>
      <c r="D141" s="223">
        <v>0</v>
      </c>
      <c r="E141" s="98" t="s">
        <v>259</v>
      </c>
      <c r="F141" s="98" t="s">
        <v>259</v>
      </c>
      <c r="G141" s="98"/>
      <c r="H141" s="43">
        <f t="shared" si="5"/>
        <v>0</v>
      </c>
      <c r="I141" s="48"/>
    </row>
    <row r="142" spans="1:9" ht="22.5" x14ac:dyDescent="0.25">
      <c r="A142" s="345">
        <v>4</v>
      </c>
      <c r="B142" s="264" t="s">
        <v>773</v>
      </c>
      <c r="C142" s="265" t="s">
        <v>774</v>
      </c>
      <c r="D142" s="223">
        <v>0</v>
      </c>
      <c r="E142" s="98">
        <v>0</v>
      </c>
      <c r="F142" s="98">
        <v>0</v>
      </c>
      <c r="G142" s="98">
        <v>700000</v>
      </c>
      <c r="H142" s="43">
        <f t="shared" si="5"/>
        <v>700000</v>
      </c>
      <c r="I142" s="48" t="s">
        <v>185</v>
      </c>
    </row>
    <row r="143" spans="1:9" ht="22.5" x14ac:dyDescent="0.25">
      <c r="A143" s="345">
        <v>5</v>
      </c>
      <c r="B143" s="264" t="s">
        <v>777</v>
      </c>
      <c r="C143" s="265" t="s">
        <v>778</v>
      </c>
      <c r="D143" s="223">
        <v>0</v>
      </c>
      <c r="E143" s="98">
        <v>0</v>
      </c>
      <c r="F143" s="98">
        <v>0</v>
      </c>
      <c r="G143" s="98">
        <v>1500000</v>
      </c>
      <c r="H143" s="43">
        <f t="shared" si="5"/>
        <v>1500000</v>
      </c>
      <c r="I143" s="48" t="s">
        <v>185</v>
      </c>
    </row>
    <row r="144" spans="1:9" x14ac:dyDescent="0.25">
      <c r="A144" s="345">
        <v>7</v>
      </c>
      <c r="B144" s="264" t="s">
        <v>779</v>
      </c>
      <c r="C144" s="265" t="s">
        <v>780</v>
      </c>
      <c r="D144" s="223">
        <v>0</v>
      </c>
      <c r="E144" s="98">
        <v>0</v>
      </c>
      <c r="F144" s="98">
        <v>0</v>
      </c>
      <c r="G144" s="98">
        <v>800000</v>
      </c>
      <c r="H144" s="43">
        <f t="shared" si="5"/>
        <v>800000</v>
      </c>
      <c r="I144" s="48" t="s">
        <v>185</v>
      </c>
    </row>
    <row r="145" spans="1:9" x14ac:dyDescent="0.25">
      <c r="A145" s="345">
        <v>8</v>
      </c>
      <c r="B145" s="264" t="s">
        <v>781</v>
      </c>
      <c r="C145" s="265" t="s">
        <v>782</v>
      </c>
      <c r="D145" s="223">
        <v>0</v>
      </c>
      <c r="E145" s="98">
        <v>0</v>
      </c>
      <c r="F145" s="98">
        <v>0</v>
      </c>
      <c r="G145" s="98"/>
      <c r="H145" s="43">
        <f t="shared" si="5"/>
        <v>0</v>
      </c>
      <c r="I145" s="48"/>
    </row>
    <row r="146" spans="1:9" x14ac:dyDescent="0.25">
      <c r="A146" s="345">
        <v>9</v>
      </c>
      <c r="B146" s="264" t="s">
        <v>970</v>
      </c>
      <c r="C146" s="265" t="s">
        <v>971</v>
      </c>
      <c r="D146" s="223">
        <v>0</v>
      </c>
      <c r="E146" s="98">
        <v>0</v>
      </c>
      <c r="F146" s="98">
        <v>0</v>
      </c>
      <c r="G146" s="98"/>
      <c r="H146" s="43">
        <f t="shared" si="5"/>
        <v>0</v>
      </c>
      <c r="I146" s="48"/>
    </row>
    <row r="147" spans="1:9" x14ac:dyDescent="0.25">
      <c r="A147" s="345">
        <v>10</v>
      </c>
      <c r="B147" s="264" t="s">
        <v>783</v>
      </c>
      <c r="C147" s="265" t="s">
        <v>784</v>
      </c>
      <c r="D147" s="223">
        <v>0</v>
      </c>
      <c r="E147" s="98">
        <v>0</v>
      </c>
      <c r="F147" s="98">
        <v>0</v>
      </c>
      <c r="G147" s="98"/>
      <c r="H147" s="43">
        <f t="shared" si="5"/>
        <v>0</v>
      </c>
      <c r="I147" s="48"/>
    </row>
    <row r="148" spans="1:9" x14ac:dyDescent="0.25">
      <c r="A148" s="345">
        <v>11</v>
      </c>
      <c r="B148" s="264" t="s">
        <v>785</v>
      </c>
      <c r="C148" s="265" t="s">
        <v>786</v>
      </c>
      <c r="D148" s="223">
        <v>0</v>
      </c>
      <c r="E148" s="98">
        <v>0</v>
      </c>
      <c r="F148" s="98">
        <v>0</v>
      </c>
      <c r="G148" s="98"/>
      <c r="H148" s="43">
        <f t="shared" si="5"/>
        <v>0</v>
      </c>
      <c r="I148" s="48"/>
    </row>
    <row r="149" spans="1:9" x14ac:dyDescent="0.25">
      <c r="A149" s="30"/>
      <c r="B149" s="28"/>
      <c r="C149" s="346" t="s">
        <v>965</v>
      </c>
      <c r="D149" s="359">
        <f>SUM(D139:D148)</f>
        <v>0</v>
      </c>
      <c r="E149" s="359">
        <f>SUM(E139:E148)</f>
        <v>0</v>
      </c>
      <c r="F149" s="359">
        <f>SUM(F139:F148)</f>
        <v>0</v>
      </c>
      <c r="G149" s="195">
        <f>SUM(G139:G148)</f>
        <v>4000000</v>
      </c>
      <c r="H149" s="195">
        <f>SUM(H139:H148)</f>
        <v>4000000</v>
      </c>
      <c r="I149" s="30"/>
    </row>
    <row r="163" spans="1:9" x14ac:dyDescent="0.25">
      <c r="A163" s="677" t="s">
        <v>633</v>
      </c>
      <c r="B163" s="677"/>
      <c r="C163" s="677"/>
      <c r="D163" s="677"/>
      <c r="E163" s="677"/>
      <c r="F163" s="677"/>
      <c r="G163" s="677"/>
      <c r="H163" s="677"/>
      <c r="I163" s="677"/>
    </row>
    <row r="164" spans="1:9" x14ac:dyDescent="0.25">
      <c r="A164" s="677" t="s">
        <v>1473</v>
      </c>
      <c r="B164" s="677"/>
      <c r="C164" s="677"/>
      <c r="D164" s="677"/>
      <c r="E164" s="677"/>
      <c r="F164" s="677"/>
      <c r="G164" s="677"/>
      <c r="H164" s="677"/>
      <c r="I164" s="677"/>
    </row>
    <row r="165" spans="1:9" x14ac:dyDescent="0.25">
      <c r="A165" s="677" t="s">
        <v>969</v>
      </c>
      <c r="B165" s="677"/>
      <c r="C165" s="677"/>
      <c r="D165" s="677"/>
      <c r="E165" s="677"/>
      <c r="F165" s="677"/>
      <c r="G165" s="677"/>
      <c r="H165" s="677"/>
      <c r="I165" s="677"/>
    </row>
    <row r="166" spans="1:9" x14ac:dyDescent="0.25">
      <c r="A166" s="465"/>
      <c r="B166" s="465"/>
      <c r="C166" s="465"/>
      <c r="D166" s="465"/>
      <c r="E166" s="465"/>
      <c r="F166" s="465"/>
      <c r="G166" s="465"/>
      <c r="H166" s="465"/>
    </row>
    <row r="167" spans="1:9" x14ac:dyDescent="0.25">
      <c r="A167" s="51" t="s">
        <v>972</v>
      </c>
      <c r="B167" s="51"/>
      <c r="C167" s="51"/>
      <c r="D167" s="51"/>
      <c r="E167" s="51"/>
      <c r="F167" s="51"/>
      <c r="G167" s="51"/>
      <c r="H167" s="52"/>
    </row>
    <row r="168" spans="1:9" x14ac:dyDescent="0.25">
      <c r="A168" s="52"/>
      <c r="B168" s="465"/>
      <c r="C168" s="52"/>
      <c r="D168" s="52"/>
      <c r="E168" s="52"/>
      <c r="F168" s="52"/>
      <c r="G168" s="52"/>
      <c r="H168" s="52"/>
    </row>
    <row r="169" spans="1:9" x14ac:dyDescent="0.25">
      <c r="A169" s="53" t="s">
        <v>973</v>
      </c>
      <c r="B169" s="53"/>
      <c r="C169" s="53"/>
      <c r="D169" s="52"/>
      <c r="E169" s="52"/>
      <c r="F169" s="52"/>
      <c r="G169" s="52"/>
      <c r="H169" s="52"/>
    </row>
    <row r="170" spans="1:9" ht="26.45" customHeight="1" x14ac:dyDescent="0.25">
      <c r="A170" s="41" t="s">
        <v>0</v>
      </c>
      <c r="B170" s="54" t="s">
        <v>35</v>
      </c>
      <c r="C170" s="54" t="s">
        <v>36</v>
      </c>
      <c r="D170" s="54" t="s">
        <v>632</v>
      </c>
      <c r="E170" s="54" t="s">
        <v>193</v>
      </c>
      <c r="F170" s="54" t="s">
        <v>222</v>
      </c>
      <c r="G170" s="55" t="s">
        <v>37</v>
      </c>
      <c r="H170" s="55" t="s">
        <v>1472</v>
      </c>
      <c r="I170" s="55" t="s">
        <v>186</v>
      </c>
    </row>
    <row r="171" spans="1:9" x14ac:dyDescent="0.25">
      <c r="A171" s="345">
        <v>1</v>
      </c>
      <c r="B171" s="264" t="s">
        <v>767</v>
      </c>
      <c r="C171" s="265" t="s">
        <v>768</v>
      </c>
      <c r="D171" s="212">
        <v>2200000</v>
      </c>
      <c r="E171" s="98" t="s">
        <v>259</v>
      </c>
      <c r="F171" s="98">
        <v>0</v>
      </c>
      <c r="G171" s="98">
        <v>3800000</v>
      </c>
      <c r="H171" s="43">
        <f>D171+G171-F171</f>
        <v>6000000</v>
      </c>
      <c r="I171" s="48" t="s">
        <v>185</v>
      </c>
    </row>
    <row r="172" spans="1:9" x14ac:dyDescent="0.25">
      <c r="A172" s="345">
        <v>2</v>
      </c>
      <c r="B172" s="264" t="s">
        <v>769</v>
      </c>
      <c r="C172" s="265" t="s">
        <v>770</v>
      </c>
      <c r="D172" s="212">
        <v>515000</v>
      </c>
      <c r="E172" s="98" t="s">
        <v>259</v>
      </c>
      <c r="F172" s="98">
        <v>0</v>
      </c>
      <c r="G172" s="98"/>
      <c r="H172" s="43">
        <f t="shared" ref="H172:H180" si="6">D172+G172</f>
        <v>515000</v>
      </c>
      <c r="I172" s="48"/>
    </row>
    <row r="173" spans="1:9" x14ac:dyDescent="0.25">
      <c r="A173" s="345">
        <v>3</v>
      </c>
      <c r="B173" s="264" t="s">
        <v>771</v>
      </c>
      <c r="C173" s="265" t="s">
        <v>772</v>
      </c>
      <c r="D173" s="212">
        <v>300000</v>
      </c>
      <c r="E173" s="98" t="s">
        <v>259</v>
      </c>
      <c r="F173" s="98" t="s">
        <v>259</v>
      </c>
      <c r="G173" s="98">
        <v>500000</v>
      </c>
      <c r="H173" s="43">
        <f t="shared" si="6"/>
        <v>800000</v>
      </c>
      <c r="I173" s="48" t="s">
        <v>185</v>
      </c>
    </row>
    <row r="174" spans="1:9" ht="22.5" x14ac:dyDescent="0.25">
      <c r="A174" s="345">
        <v>4</v>
      </c>
      <c r="B174" s="264" t="s">
        <v>773</v>
      </c>
      <c r="C174" s="265" t="s">
        <v>774</v>
      </c>
      <c r="D174" s="212">
        <v>1000000</v>
      </c>
      <c r="E174" s="98">
        <v>0</v>
      </c>
      <c r="F174" s="98">
        <v>0</v>
      </c>
      <c r="G174" s="98">
        <v>1000000</v>
      </c>
      <c r="H174" s="43">
        <f t="shared" si="6"/>
        <v>2000000</v>
      </c>
      <c r="I174" s="48" t="s">
        <v>185</v>
      </c>
    </row>
    <row r="175" spans="1:9" x14ac:dyDescent="0.25">
      <c r="A175" s="345">
        <v>5</v>
      </c>
      <c r="B175" s="264" t="s">
        <v>775</v>
      </c>
      <c r="C175" s="265" t="s">
        <v>776</v>
      </c>
      <c r="D175" s="212">
        <v>1000000</v>
      </c>
      <c r="E175" s="98">
        <v>0</v>
      </c>
      <c r="F175" s="98">
        <v>0</v>
      </c>
      <c r="G175" s="98"/>
      <c r="H175" s="43">
        <f t="shared" si="6"/>
        <v>1000000</v>
      </c>
      <c r="I175" s="48"/>
    </row>
    <row r="176" spans="1:9" x14ac:dyDescent="0.25">
      <c r="A176" s="345">
        <v>7</v>
      </c>
      <c r="B176" s="264" t="s">
        <v>779</v>
      </c>
      <c r="C176" s="265" t="s">
        <v>780</v>
      </c>
      <c r="D176" s="212">
        <v>1200000</v>
      </c>
      <c r="E176" s="98">
        <v>0</v>
      </c>
      <c r="F176" s="98">
        <v>0</v>
      </c>
      <c r="G176" s="98">
        <v>1500000</v>
      </c>
      <c r="H176" s="43">
        <f t="shared" si="6"/>
        <v>2700000</v>
      </c>
      <c r="I176" s="48" t="s">
        <v>185</v>
      </c>
    </row>
    <row r="177" spans="1:9" x14ac:dyDescent="0.25">
      <c r="A177" s="345">
        <v>8</v>
      </c>
      <c r="B177" s="264" t="s">
        <v>781</v>
      </c>
      <c r="C177" s="265" t="s">
        <v>782</v>
      </c>
      <c r="D177" s="212">
        <v>3700000</v>
      </c>
      <c r="E177" s="98">
        <v>0</v>
      </c>
      <c r="F177" s="98">
        <v>0</v>
      </c>
      <c r="G177" s="98">
        <v>1000000</v>
      </c>
      <c r="H177" s="43">
        <f t="shared" si="6"/>
        <v>4700000</v>
      </c>
      <c r="I177" s="48" t="s">
        <v>185</v>
      </c>
    </row>
    <row r="178" spans="1:9" x14ac:dyDescent="0.25">
      <c r="A178" s="345">
        <v>9</v>
      </c>
      <c r="B178" s="264" t="s">
        <v>970</v>
      </c>
      <c r="C178" s="265" t="s">
        <v>971</v>
      </c>
      <c r="D178" s="212">
        <v>200000</v>
      </c>
      <c r="E178" s="98">
        <v>0</v>
      </c>
      <c r="F178" s="98">
        <v>0</v>
      </c>
      <c r="G178" s="98"/>
      <c r="H178" s="43">
        <f t="shared" si="6"/>
        <v>200000</v>
      </c>
      <c r="I178" s="48"/>
    </row>
    <row r="179" spans="1:9" x14ac:dyDescent="0.25">
      <c r="A179" s="345">
        <v>10</v>
      </c>
      <c r="B179" s="264" t="s">
        <v>783</v>
      </c>
      <c r="C179" s="265" t="s">
        <v>784</v>
      </c>
      <c r="D179" s="212">
        <v>500000</v>
      </c>
      <c r="E179" s="98">
        <v>0</v>
      </c>
      <c r="F179" s="98">
        <v>0</v>
      </c>
      <c r="G179" s="98">
        <v>585000</v>
      </c>
      <c r="H179" s="43">
        <f t="shared" si="6"/>
        <v>1085000</v>
      </c>
      <c r="I179" s="48" t="s">
        <v>185</v>
      </c>
    </row>
    <row r="180" spans="1:9" x14ac:dyDescent="0.25">
      <c r="A180" s="345">
        <v>11</v>
      </c>
      <c r="B180" s="264" t="s">
        <v>785</v>
      </c>
      <c r="C180" s="265" t="s">
        <v>786</v>
      </c>
      <c r="D180" s="212">
        <v>500000</v>
      </c>
      <c r="E180" s="98">
        <v>0</v>
      </c>
      <c r="F180" s="98">
        <v>0</v>
      </c>
      <c r="G180" s="98">
        <v>500000</v>
      </c>
      <c r="H180" s="43">
        <f t="shared" si="6"/>
        <v>1000000</v>
      </c>
      <c r="I180" s="48" t="s">
        <v>185</v>
      </c>
    </row>
    <row r="181" spans="1:9" x14ac:dyDescent="0.25">
      <c r="A181" s="30"/>
      <c r="B181" s="28"/>
      <c r="C181" s="346" t="s">
        <v>965</v>
      </c>
      <c r="D181" s="195">
        <f>SUM(D171:D180)</f>
        <v>11115000</v>
      </c>
      <c r="E181" s="359">
        <f>SUM(E171:E180)</f>
        <v>0</v>
      </c>
      <c r="F181" s="359">
        <f>SUM(F171:F180)</f>
        <v>0</v>
      </c>
      <c r="G181" s="195">
        <f>SUM(G171:G180)</f>
        <v>8885000</v>
      </c>
      <c r="H181" s="195">
        <f>SUM(H171:H180)</f>
        <v>20000000</v>
      </c>
      <c r="I181" s="30"/>
    </row>
    <row r="196" spans="1:9" x14ac:dyDescent="0.25">
      <c r="A196" s="677" t="s">
        <v>633</v>
      </c>
      <c r="B196" s="677"/>
      <c r="C196" s="677"/>
      <c r="D196" s="677"/>
      <c r="E196" s="677"/>
      <c r="F196" s="677"/>
      <c r="G196" s="677"/>
      <c r="H196" s="677"/>
      <c r="I196" s="677"/>
    </row>
    <row r="197" spans="1:9" x14ac:dyDescent="0.25">
      <c r="A197" s="677" t="s">
        <v>1473</v>
      </c>
      <c r="B197" s="677"/>
      <c r="C197" s="677"/>
      <c r="D197" s="677"/>
      <c r="E197" s="677"/>
      <c r="F197" s="677"/>
      <c r="G197" s="677"/>
      <c r="H197" s="677"/>
      <c r="I197" s="677"/>
    </row>
    <row r="198" spans="1:9" x14ac:dyDescent="0.25">
      <c r="A198" s="677" t="s">
        <v>34</v>
      </c>
      <c r="B198" s="677"/>
      <c r="C198" s="677"/>
      <c r="D198" s="677"/>
      <c r="E198" s="677"/>
      <c r="F198" s="677"/>
      <c r="G198" s="677"/>
      <c r="H198" s="677"/>
      <c r="I198" s="677"/>
    </row>
    <row r="199" spans="1:9" x14ac:dyDescent="0.25">
      <c r="A199" s="207"/>
      <c r="B199" s="207"/>
      <c r="C199" s="207"/>
      <c r="D199" s="207"/>
      <c r="E199" s="207"/>
      <c r="F199" s="207"/>
      <c r="G199" s="207"/>
      <c r="H199" s="207"/>
    </row>
    <row r="200" spans="1:9" x14ac:dyDescent="0.25">
      <c r="A200" s="61" t="s">
        <v>247</v>
      </c>
      <c r="B200" s="51"/>
      <c r="C200" s="51"/>
      <c r="D200" s="51"/>
      <c r="E200" s="51"/>
      <c r="F200" s="51"/>
      <c r="G200" s="51"/>
      <c r="H200" s="52"/>
    </row>
    <row r="201" spans="1:9" x14ac:dyDescent="0.25">
      <c r="A201" s="52"/>
      <c r="B201" s="207"/>
      <c r="C201" s="52"/>
      <c r="D201" s="52"/>
      <c r="E201" s="52"/>
      <c r="F201" s="52"/>
      <c r="G201" s="52"/>
      <c r="H201" s="52"/>
    </row>
    <row r="202" spans="1:9" x14ac:dyDescent="0.25">
      <c r="A202" s="53" t="s">
        <v>248</v>
      </c>
      <c r="B202" s="53"/>
      <c r="C202" s="53"/>
      <c r="D202" s="52"/>
      <c r="E202" s="52"/>
      <c r="F202" s="52"/>
      <c r="G202" s="52"/>
      <c r="H202" s="52"/>
    </row>
    <row r="203" spans="1:9" ht="26.45" customHeight="1" x14ac:dyDescent="0.25">
      <c r="A203" s="41" t="s">
        <v>0</v>
      </c>
      <c r="B203" s="54" t="s">
        <v>35</v>
      </c>
      <c r="C203" s="54" t="s">
        <v>36</v>
      </c>
      <c r="D203" s="54" t="s">
        <v>632</v>
      </c>
      <c r="E203" s="54" t="s">
        <v>193</v>
      </c>
      <c r="F203" s="54" t="s">
        <v>222</v>
      </c>
      <c r="G203" s="55" t="s">
        <v>37</v>
      </c>
      <c r="H203" s="55" t="s">
        <v>1472</v>
      </c>
      <c r="I203" s="55" t="s">
        <v>186</v>
      </c>
    </row>
    <row r="204" spans="1:9" x14ac:dyDescent="0.25">
      <c r="A204" s="32">
        <v>1</v>
      </c>
      <c r="B204" s="210" t="s">
        <v>638</v>
      </c>
      <c r="C204" s="211" t="s">
        <v>639</v>
      </c>
      <c r="D204" s="212">
        <v>193550000</v>
      </c>
      <c r="E204" s="144" t="s">
        <v>259</v>
      </c>
      <c r="F204" s="144">
        <v>0</v>
      </c>
      <c r="G204" s="144">
        <v>0</v>
      </c>
      <c r="H204" s="43">
        <f>D204+G204-F204</f>
        <v>193550000</v>
      </c>
      <c r="I204" s="48"/>
    </row>
    <row r="205" spans="1:9" x14ac:dyDescent="0.25">
      <c r="A205" s="32">
        <v>2</v>
      </c>
      <c r="B205" s="210" t="s">
        <v>640</v>
      </c>
      <c r="C205" s="211" t="s">
        <v>249</v>
      </c>
      <c r="D205" s="212">
        <v>198000000</v>
      </c>
      <c r="E205" s="144" t="s">
        <v>259</v>
      </c>
      <c r="F205" s="144">
        <v>0</v>
      </c>
      <c r="G205" s="144">
        <v>0</v>
      </c>
      <c r="H205" s="43">
        <f>D205+G205</f>
        <v>198000000</v>
      </c>
      <c r="I205" s="48"/>
    </row>
    <row r="206" spans="1:9" x14ac:dyDescent="0.25">
      <c r="A206" s="32">
        <v>3</v>
      </c>
      <c r="B206" s="210" t="s">
        <v>641</v>
      </c>
      <c r="C206" s="211" t="s">
        <v>250</v>
      </c>
      <c r="D206" s="212">
        <v>11600000</v>
      </c>
      <c r="E206" s="144" t="s">
        <v>259</v>
      </c>
      <c r="F206" s="144" t="s">
        <v>259</v>
      </c>
      <c r="G206" s="144">
        <v>0</v>
      </c>
      <c r="H206" s="43">
        <f>D206+G206</f>
        <v>11600000</v>
      </c>
      <c r="I206" s="48"/>
    </row>
    <row r="207" spans="1:9" x14ac:dyDescent="0.25">
      <c r="A207" s="32">
        <v>4</v>
      </c>
      <c r="B207" s="210" t="s">
        <v>557</v>
      </c>
      <c r="C207" s="211" t="s">
        <v>229</v>
      </c>
      <c r="D207" s="212">
        <v>135000000</v>
      </c>
      <c r="E207" s="144">
        <v>104848350</v>
      </c>
      <c r="F207" s="144">
        <v>0</v>
      </c>
      <c r="G207" s="144">
        <v>21000000</v>
      </c>
      <c r="H207" s="43">
        <f>D207+G207</f>
        <v>156000000</v>
      </c>
      <c r="I207" s="48" t="s">
        <v>185</v>
      </c>
    </row>
    <row r="208" spans="1:9" x14ac:dyDescent="0.25">
      <c r="A208" s="32">
        <v>5</v>
      </c>
      <c r="B208" s="210" t="s">
        <v>642</v>
      </c>
      <c r="C208" s="211" t="s">
        <v>251</v>
      </c>
      <c r="D208" s="212">
        <v>35000000</v>
      </c>
      <c r="E208" s="144" t="s">
        <v>259</v>
      </c>
      <c r="F208" s="144">
        <v>0</v>
      </c>
      <c r="G208" s="144">
        <v>0</v>
      </c>
      <c r="H208" s="43">
        <f>D208+G208</f>
        <v>35000000</v>
      </c>
      <c r="I208" s="48"/>
    </row>
    <row r="209" spans="1:9" x14ac:dyDescent="0.25">
      <c r="A209" s="32">
        <v>6</v>
      </c>
      <c r="B209" s="210" t="s">
        <v>643</v>
      </c>
      <c r="C209" s="211" t="s">
        <v>252</v>
      </c>
      <c r="D209" s="212">
        <v>80300000</v>
      </c>
      <c r="E209" s="144">
        <v>88966100</v>
      </c>
      <c r="F209" s="144">
        <v>0</v>
      </c>
      <c r="G209" s="144">
        <v>50000000</v>
      </c>
      <c r="H209" s="43">
        <f>D209+G209</f>
        <v>130300000</v>
      </c>
      <c r="I209" s="48" t="s">
        <v>185</v>
      </c>
    </row>
    <row r="210" spans="1:9" ht="24" x14ac:dyDescent="0.25">
      <c r="A210" s="32">
        <v>7</v>
      </c>
      <c r="B210" s="210" t="s">
        <v>599</v>
      </c>
      <c r="C210" s="211" t="s">
        <v>231</v>
      </c>
      <c r="D210" s="348">
        <v>180000000</v>
      </c>
      <c r="E210" s="144">
        <v>74685000</v>
      </c>
      <c r="F210" s="144">
        <v>0</v>
      </c>
      <c r="G210" s="144">
        <v>0</v>
      </c>
      <c r="H210" s="43">
        <f>D210+G210-F210</f>
        <v>180000000</v>
      </c>
      <c r="I210" s="48"/>
    </row>
    <row r="211" spans="1:9" ht="24" x14ac:dyDescent="0.25">
      <c r="A211" s="32">
        <v>8</v>
      </c>
      <c r="B211" s="210" t="s">
        <v>644</v>
      </c>
      <c r="C211" s="211" t="s">
        <v>645</v>
      </c>
      <c r="D211" s="348">
        <v>29000000</v>
      </c>
      <c r="E211" s="213">
        <v>0</v>
      </c>
      <c r="F211" s="144">
        <v>0</v>
      </c>
      <c r="G211" s="144">
        <v>0</v>
      </c>
      <c r="H211" s="43">
        <f>D211+G211</f>
        <v>29000000</v>
      </c>
      <c r="I211" s="48"/>
    </row>
    <row r="212" spans="1:9" ht="24" x14ac:dyDescent="0.25">
      <c r="A212" s="32">
        <v>9</v>
      </c>
      <c r="B212" s="210" t="s">
        <v>646</v>
      </c>
      <c r="C212" s="211" t="s">
        <v>246</v>
      </c>
      <c r="D212" s="348">
        <v>145000000</v>
      </c>
      <c r="E212" s="144">
        <f>133230000+5000000</f>
        <v>138230000</v>
      </c>
      <c r="F212" s="144">
        <v>0</v>
      </c>
      <c r="G212" s="144">
        <v>30000000</v>
      </c>
      <c r="H212" s="43">
        <f>D212+G212-F212</f>
        <v>175000000</v>
      </c>
      <c r="I212" s="128" t="s">
        <v>1009</v>
      </c>
    </row>
    <row r="213" spans="1:9" x14ac:dyDescent="0.25">
      <c r="A213" s="32">
        <v>10</v>
      </c>
      <c r="B213" s="210" t="s">
        <v>647</v>
      </c>
      <c r="C213" s="211" t="s">
        <v>253</v>
      </c>
      <c r="D213" s="348">
        <v>10000000</v>
      </c>
      <c r="E213" s="144">
        <v>10000000</v>
      </c>
      <c r="F213" s="144">
        <v>0</v>
      </c>
      <c r="G213" s="144">
        <v>30000000</v>
      </c>
      <c r="H213" s="43">
        <f t="shared" ref="H213:H221" si="7">D213+G213</f>
        <v>40000000</v>
      </c>
      <c r="I213" s="48" t="s">
        <v>185</v>
      </c>
    </row>
    <row r="214" spans="1:9" ht="36" x14ac:dyDescent="0.25">
      <c r="A214" s="32">
        <v>11</v>
      </c>
      <c r="B214" s="210" t="s">
        <v>648</v>
      </c>
      <c r="C214" s="211" t="s">
        <v>649</v>
      </c>
      <c r="D214" s="213">
        <v>0</v>
      </c>
      <c r="E214" s="144">
        <v>0</v>
      </c>
      <c r="F214" s="144">
        <v>0</v>
      </c>
      <c r="G214" s="144">
        <v>0</v>
      </c>
      <c r="H214" s="43">
        <f t="shared" si="7"/>
        <v>0</v>
      </c>
      <c r="I214" s="48"/>
    </row>
    <row r="215" spans="1:9" ht="24" x14ac:dyDescent="0.25">
      <c r="A215" s="32">
        <v>12</v>
      </c>
      <c r="B215" s="210" t="s">
        <v>650</v>
      </c>
      <c r="C215" s="211" t="s">
        <v>254</v>
      </c>
      <c r="D215" s="348">
        <v>80000000</v>
      </c>
      <c r="E215" s="144">
        <v>0</v>
      </c>
      <c r="F215" s="144">
        <v>0</v>
      </c>
      <c r="G215" s="144">
        <v>0</v>
      </c>
      <c r="H215" s="43">
        <f t="shared" si="7"/>
        <v>80000000</v>
      </c>
      <c r="I215" s="48"/>
    </row>
    <row r="216" spans="1:9" ht="24" x14ac:dyDescent="0.25">
      <c r="A216" s="32">
        <v>13</v>
      </c>
      <c r="B216" s="210" t="s">
        <v>651</v>
      </c>
      <c r="C216" s="211" t="s">
        <v>255</v>
      </c>
      <c r="D216" s="348">
        <v>3000000</v>
      </c>
      <c r="E216" s="144">
        <v>0</v>
      </c>
      <c r="F216" s="144">
        <v>0</v>
      </c>
      <c r="G216" s="144">
        <v>0</v>
      </c>
      <c r="H216" s="43">
        <f t="shared" si="7"/>
        <v>3000000</v>
      </c>
      <c r="I216" s="48"/>
    </row>
    <row r="217" spans="1:9" x14ac:dyDescent="0.25">
      <c r="A217" s="32">
        <v>14</v>
      </c>
      <c r="B217" s="210" t="s">
        <v>652</v>
      </c>
      <c r="C217" s="211" t="s">
        <v>256</v>
      </c>
      <c r="D217" s="212">
        <v>24000000</v>
      </c>
      <c r="E217" s="144">
        <v>0</v>
      </c>
      <c r="F217" s="144">
        <v>0</v>
      </c>
      <c r="G217" s="144">
        <v>0</v>
      </c>
      <c r="H217" s="43">
        <f t="shared" si="7"/>
        <v>24000000</v>
      </c>
      <c r="I217" s="48"/>
    </row>
    <row r="218" spans="1:9" x14ac:dyDescent="0.25">
      <c r="A218" s="32">
        <v>15</v>
      </c>
      <c r="B218" s="210" t="s">
        <v>653</v>
      </c>
      <c r="C218" s="211" t="s">
        <v>257</v>
      </c>
      <c r="D218" s="223">
        <v>0</v>
      </c>
      <c r="E218" s="144">
        <v>0</v>
      </c>
      <c r="F218" s="144">
        <v>0</v>
      </c>
      <c r="G218" s="144">
        <v>0</v>
      </c>
      <c r="H218" s="43">
        <f t="shared" si="7"/>
        <v>0</v>
      </c>
      <c r="I218" s="48"/>
    </row>
    <row r="219" spans="1:9" x14ac:dyDescent="0.25">
      <c r="A219" s="32">
        <v>16</v>
      </c>
      <c r="B219" s="210" t="s">
        <v>654</v>
      </c>
      <c r="C219" s="211" t="s">
        <v>655</v>
      </c>
      <c r="D219" s="223">
        <v>0</v>
      </c>
      <c r="E219" s="144">
        <v>0</v>
      </c>
      <c r="F219" s="144">
        <v>0</v>
      </c>
      <c r="G219" s="144">
        <v>0</v>
      </c>
      <c r="H219" s="43">
        <f t="shared" si="7"/>
        <v>0</v>
      </c>
      <c r="I219" s="48"/>
    </row>
    <row r="220" spans="1:9" ht="24" x14ac:dyDescent="0.25">
      <c r="A220" s="32">
        <v>17</v>
      </c>
      <c r="B220" s="210" t="s">
        <v>656</v>
      </c>
      <c r="C220" s="211" t="s">
        <v>258</v>
      </c>
      <c r="D220" s="212">
        <v>30000000</v>
      </c>
      <c r="E220" s="144">
        <v>0</v>
      </c>
      <c r="F220" s="144">
        <v>0</v>
      </c>
      <c r="G220" s="144">
        <v>0</v>
      </c>
      <c r="H220" s="43">
        <f t="shared" si="7"/>
        <v>30000000</v>
      </c>
      <c r="I220" s="30"/>
    </row>
    <row r="221" spans="1:9" ht="24" x14ac:dyDescent="0.25">
      <c r="A221" s="32">
        <v>18</v>
      </c>
      <c r="B221" s="210" t="s">
        <v>657</v>
      </c>
      <c r="C221" s="211" t="s">
        <v>658</v>
      </c>
      <c r="D221" s="223">
        <v>0</v>
      </c>
      <c r="E221" s="144">
        <v>500000</v>
      </c>
      <c r="F221" s="144">
        <v>0</v>
      </c>
      <c r="G221" s="144">
        <v>500000</v>
      </c>
      <c r="H221" s="43">
        <f t="shared" si="7"/>
        <v>500000</v>
      </c>
      <c r="I221" s="48" t="s">
        <v>185</v>
      </c>
    </row>
    <row r="222" spans="1:9" ht="26.45" customHeight="1" x14ac:dyDescent="0.25">
      <c r="A222" s="41" t="s">
        <v>0</v>
      </c>
      <c r="B222" s="54" t="s">
        <v>35</v>
      </c>
      <c r="C222" s="54" t="s">
        <v>36</v>
      </c>
      <c r="D222" s="54" t="s">
        <v>632</v>
      </c>
      <c r="E222" s="54" t="s">
        <v>193</v>
      </c>
      <c r="F222" s="54" t="s">
        <v>222</v>
      </c>
      <c r="G222" s="55" t="s">
        <v>37</v>
      </c>
      <c r="H222" s="55" t="s">
        <v>1472</v>
      </c>
      <c r="I222" s="55" t="s">
        <v>186</v>
      </c>
    </row>
    <row r="223" spans="1:9" ht="24" x14ac:dyDescent="0.25">
      <c r="A223" s="32">
        <v>19</v>
      </c>
      <c r="B223" s="210" t="s">
        <v>659</v>
      </c>
      <c r="C223" s="211" t="s">
        <v>660</v>
      </c>
      <c r="D223" s="223">
        <v>0</v>
      </c>
      <c r="E223" s="144">
        <v>0</v>
      </c>
      <c r="F223" s="144">
        <v>0</v>
      </c>
      <c r="G223" s="144">
        <v>0</v>
      </c>
      <c r="H223" s="43">
        <f>D223+G223</f>
        <v>0</v>
      </c>
      <c r="I223" s="30"/>
    </row>
    <row r="224" spans="1:9" x14ac:dyDescent="0.25">
      <c r="A224" s="32">
        <v>20</v>
      </c>
      <c r="B224" s="210" t="s">
        <v>661</v>
      </c>
      <c r="C224" s="211" t="s">
        <v>662</v>
      </c>
      <c r="D224" s="212">
        <v>12000000</v>
      </c>
      <c r="E224" s="144">
        <v>0</v>
      </c>
      <c r="F224" s="144">
        <v>0</v>
      </c>
      <c r="G224" s="144">
        <v>0</v>
      </c>
      <c r="H224" s="43">
        <f>D224+G224</f>
        <v>12000000</v>
      </c>
      <c r="I224" s="30"/>
    </row>
    <row r="225" spans="1:9" ht="24" x14ac:dyDescent="0.25">
      <c r="A225" s="32">
        <v>21</v>
      </c>
      <c r="B225" s="210" t="s">
        <v>663</v>
      </c>
      <c r="C225" s="211" t="s">
        <v>664</v>
      </c>
      <c r="D225" s="212">
        <v>4000000</v>
      </c>
      <c r="E225" s="144">
        <v>0</v>
      </c>
      <c r="F225" s="144">
        <v>0</v>
      </c>
      <c r="G225" s="144">
        <v>0</v>
      </c>
      <c r="H225" s="43">
        <f>D225+G225</f>
        <v>4000000</v>
      </c>
      <c r="I225" s="30"/>
    </row>
    <row r="226" spans="1:9" x14ac:dyDescent="0.25">
      <c r="A226" s="30"/>
      <c r="B226" s="28"/>
      <c r="C226" s="42" t="s">
        <v>38</v>
      </c>
      <c r="D226" s="62">
        <f>SUM(D204:D225)</f>
        <v>1170450000</v>
      </c>
      <c r="E226" s="62">
        <f>SUM(E204:E225)</f>
        <v>417229450</v>
      </c>
      <c r="F226" s="145">
        <f>SUM(F204:F225)</f>
        <v>0</v>
      </c>
      <c r="G226" s="62">
        <f>SUM(G204:G225)</f>
        <v>131500000</v>
      </c>
      <c r="H226" s="62">
        <f>SUM(H204:H225)</f>
        <v>1301950000</v>
      </c>
      <c r="I226" s="30"/>
    </row>
    <row r="255" spans="1:9" x14ac:dyDescent="0.25">
      <c r="A255" s="677" t="s">
        <v>633</v>
      </c>
      <c r="B255" s="677"/>
      <c r="C255" s="677"/>
      <c r="D255" s="677"/>
      <c r="E255" s="677"/>
      <c r="F255" s="677"/>
      <c r="G255" s="677"/>
      <c r="H255" s="677"/>
      <c r="I255" s="677"/>
    </row>
    <row r="256" spans="1:9" x14ac:dyDescent="0.25">
      <c r="A256" s="677" t="s">
        <v>1473</v>
      </c>
      <c r="B256" s="677"/>
      <c r="C256" s="677"/>
      <c r="D256" s="677"/>
      <c r="E256" s="677"/>
      <c r="F256" s="677"/>
      <c r="G256" s="677"/>
      <c r="H256" s="677"/>
      <c r="I256" s="677"/>
    </row>
    <row r="257" spans="1:9" x14ac:dyDescent="0.25">
      <c r="A257" s="677" t="s">
        <v>34</v>
      </c>
      <c r="B257" s="677"/>
      <c r="C257" s="677"/>
      <c r="D257" s="677"/>
      <c r="E257" s="677"/>
      <c r="F257" s="677"/>
      <c r="G257" s="677"/>
      <c r="H257" s="677"/>
      <c r="I257" s="677"/>
    </row>
    <row r="258" spans="1:9" x14ac:dyDescent="0.25">
      <c r="A258" s="321"/>
      <c r="B258" s="321"/>
      <c r="C258" s="321"/>
      <c r="D258" s="321"/>
      <c r="E258" s="321"/>
      <c r="F258" s="321"/>
      <c r="G258" s="321"/>
      <c r="H258" s="321"/>
    </row>
    <row r="259" spans="1:9" x14ac:dyDescent="0.25">
      <c r="A259" s="51" t="s">
        <v>997</v>
      </c>
      <c r="B259" s="51"/>
      <c r="C259" s="51"/>
      <c r="D259" s="51"/>
      <c r="E259" s="51"/>
      <c r="F259" s="51"/>
      <c r="G259" s="51"/>
      <c r="H259" s="52"/>
    </row>
    <row r="260" spans="1:9" x14ac:dyDescent="0.25">
      <c r="A260" s="52"/>
      <c r="B260" s="321"/>
      <c r="C260" s="52"/>
      <c r="D260" s="52"/>
      <c r="E260" s="52"/>
      <c r="F260" s="52"/>
      <c r="G260" s="52"/>
      <c r="H260" s="52"/>
    </row>
    <row r="261" spans="1:9" x14ac:dyDescent="0.25">
      <c r="A261" s="53" t="s">
        <v>1135</v>
      </c>
      <c r="B261" s="53"/>
      <c r="C261" s="53"/>
      <c r="D261" s="52"/>
      <c r="E261" s="52"/>
      <c r="F261" s="52"/>
      <c r="G261" s="52"/>
      <c r="H261" s="52"/>
    </row>
    <row r="262" spans="1:9" ht="26.45" customHeight="1" x14ac:dyDescent="0.25">
      <c r="A262" s="41" t="s">
        <v>0</v>
      </c>
      <c r="B262" s="54" t="s">
        <v>35</v>
      </c>
      <c r="C262" s="54" t="s">
        <v>36</v>
      </c>
      <c r="D262" s="54" t="s">
        <v>632</v>
      </c>
      <c r="E262" s="54" t="s">
        <v>193</v>
      </c>
      <c r="F262" s="54" t="s">
        <v>222</v>
      </c>
      <c r="G262" s="55" t="s">
        <v>37</v>
      </c>
      <c r="H262" s="55" t="s">
        <v>1472</v>
      </c>
      <c r="I262" s="55" t="s">
        <v>186</v>
      </c>
    </row>
    <row r="263" spans="1:9" x14ac:dyDescent="0.25">
      <c r="A263" s="210" t="s">
        <v>143</v>
      </c>
      <c r="B263" s="210" t="s">
        <v>640</v>
      </c>
      <c r="C263" s="211" t="s">
        <v>249</v>
      </c>
      <c r="D263" s="212">
        <v>40000000</v>
      </c>
      <c r="E263" s="144">
        <v>0</v>
      </c>
      <c r="F263" s="144">
        <v>0</v>
      </c>
      <c r="G263" s="144">
        <v>0</v>
      </c>
      <c r="H263" s="43">
        <f>D263+G263-F263</f>
        <v>40000000</v>
      </c>
      <c r="I263" s="48"/>
    </row>
    <row r="264" spans="1:9" x14ac:dyDescent="0.25">
      <c r="A264" s="210" t="s">
        <v>144</v>
      </c>
      <c r="B264" s="210" t="s">
        <v>557</v>
      </c>
      <c r="C264" s="211" t="s">
        <v>229</v>
      </c>
      <c r="D264" s="212">
        <v>10000000</v>
      </c>
      <c r="E264" s="144" t="s">
        <v>259</v>
      </c>
      <c r="F264" s="144">
        <v>0</v>
      </c>
      <c r="G264" s="144">
        <v>0</v>
      </c>
      <c r="H264" s="43">
        <f t="shared" ref="H264:H269" si="8">D264+G264</f>
        <v>10000000</v>
      </c>
      <c r="I264" s="48"/>
    </row>
    <row r="265" spans="1:9" x14ac:dyDescent="0.25">
      <c r="A265" s="210" t="s">
        <v>145</v>
      </c>
      <c r="B265" s="210" t="s">
        <v>643</v>
      </c>
      <c r="C265" s="211" t="s">
        <v>252</v>
      </c>
      <c r="D265" s="212">
        <v>25000000</v>
      </c>
      <c r="E265" s="144">
        <v>0</v>
      </c>
      <c r="F265" s="144" t="s">
        <v>259</v>
      </c>
      <c r="G265" s="144">
        <v>0</v>
      </c>
      <c r="H265" s="43">
        <f t="shared" si="8"/>
        <v>25000000</v>
      </c>
      <c r="I265" s="48"/>
    </row>
    <row r="266" spans="1:9" x14ac:dyDescent="0.25">
      <c r="A266" s="210" t="s">
        <v>20</v>
      </c>
      <c r="B266" s="210" t="s">
        <v>998</v>
      </c>
      <c r="C266" s="211" t="s">
        <v>999</v>
      </c>
      <c r="D266" s="212">
        <v>15000000</v>
      </c>
      <c r="E266" s="144">
        <v>0</v>
      </c>
      <c r="F266" s="144">
        <v>0</v>
      </c>
      <c r="G266" s="144">
        <v>0</v>
      </c>
      <c r="H266" s="43">
        <f t="shared" si="8"/>
        <v>15000000</v>
      </c>
      <c r="I266" s="48"/>
    </row>
    <row r="267" spans="1:9" ht="24" x14ac:dyDescent="0.25">
      <c r="A267" s="210"/>
      <c r="B267" s="210" t="s">
        <v>1000</v>
      </c>
      <c r="C267" s="211" t="s">
        <v>1001</v>
      </c>
      <c r="D267" s="212">
        <v>43000000</v>
      </c>
      <c r="E267" s="144">
        <v>28571775</v>
      </c>
      <c r="F267" s="144">
        <v>0</v>
      </c>
      <c r="G267" s="144">
        <v>20000000</v>
      </c>
      <c r="H267" s="43">
        <f t="shared" si="8"/>
        <v>63000000</v>
      </c>
      <c r="I267" s="48" t="s">
        <v>185</v>
      </c>
    </row>
    <row r="268" spans="1:9" x14ac:dyDescent="0.25">
      <c r="A268" s="210" t="s">
        <v>146</v>
      </c>
      <c r="B268" s="210" t="s">
        <v>1002</v>
      </c>
      <c r="C268" s="211" t="s">
        <v>1003</v>
      </c>
      <c r="D268" s="212">
        <v>12000000</v>
      </c>
      <c r="E268" s="144">
        <v>0</v>
      </c>
      <c r="F268" s="144">
        <v>0</v>
      </c>
      <c r="G268" s="144">
        <v>0</v>
      </c>
      <c r="H268" s="43">
        <f t="shared" si="8"/>
        <v>12000000</v>
      </c>
      <c r="I268" s="48"/>
    </row>
    <row r="269" spans="1:9" x14ac:dyDescent="0.25">
      <c r="A269" s="210" t="s">
        <v>21</v>
      </c>
      <c r="B269" s="210" t="s">
        <v>1004</v>
      </c>
      <c r="C269" s="211" t="s">
        <v>1005</v>
      </c>
      <c r="D269" s="212">
        <v>15000000</v>
      </c>
      <c r="E269" s="144">
        <v>0</v>
      </c>
      <c r="F269" s="144">
        <v>0</v>
      </c>
      <c r="G269" s="144">
        <v>0</v>
      </c>
      <c r="H269" s="43">
        <f t="shared" si="8"/>
        <v>15000000</v>
      </c>
      <c r="I269" s="48"/>
    </row>
    <row r="270" spans="1:9" x14ac:dyDescent="0.25">
      <c r="A270" s="266"/>
      <c r="B270" s="266"/>
      <c r="C270" s="266" t="s">
        <v>965</v>
      </c>
      <c r="D270" s="145">
        <f>SUM(D263:D269)</f>
        <v>160000000</v>
      </c>
      <c r="E270" s="145">
        <f>SUM(E263:E269)</f>
        <v>28571775</v>
      </c>
      <c r="F270" s="145">
        <f>SUM(F263:F269)</f>
        <v>0</v>
      </c>
      <c r="G270" s="145">
        <f>SUM(G263:G269)</f>
        <v>20000000</v>
      </c>
      <c r="H270" s="145">
        <f>SUM(H263:H269)</f>
        <v>180000000</v>
      </c>
      <c r="I270" s="48"/>
    </row>
    <row r="288" spans="1:9" x14ac:dyDescent="0.25">
      <c r="A288" s="677" t="s">
        <v>633</v>
      </c>
      <c r="B288" s="677"/>
      <c r="C288" s="677"/>
      <c r="D288" s="677"/>
      <c r="E288" s="677"/>
      <c r="F288" s="677"/>
      <c r="G288" s="677"/>
      <c r="H288" s="677"/>
      <c r="I288" s="677"/>
    </row>
    <row r="289" spans="1:9" x14ac:dyDescent="0.25">
      <c r="A289" s="677" t="s">
        <v>1473</v>
      </c>
      <c r="B289" s="677"/>
      <c r="C289" s="677"/>
      <c r="D289" s="677"/>
      <c r="E289" s="677"/>
      <c r="F289" s="677"/>
      <c r="G289" s="677"/>
      <c r="H289" s="677"/>
      <c r="I289" s="677"/>
    </row>
    <row r="290" spans="1:9" x14ac:dyDescent="0.25">
      <c r="A290" s="677" t="s">
        <v>34</v>
      </c>
      <c r="B290" s="677"/>
      <c r="C290" s="677"/>
      <c r="D290" s="677"/>
      <c r="E290" s="677"/>
      <c r="F290" s="677"/>
      <c r="G290" s="677"/>
      <c r="H290" s="677"/>
      <c r="I290" s="677"/>
    </row>
    <row r="291" spans="1:9" x14ac:dyDescent="0.25">
      <c r="A291" s="321"/>
      <c r="B291" s="321"/>
      <c r="C291" s="321"/>
      <c r="D291" s="321"/>
      <c r="E291" s="321"/>
      <c r="F291" s="321"/>
      <c r="G291" s="321"/>
      <c r="H291" s="321"/>
    </row>
    <row r="292" spans="1:9" x14ac:dyDescent="0.25">
      <c r="A292" s="51" t="s">
        <v>966</v>
      </c>
      <c r="B292" s="51"/>
      <c r="C292" s="51"/>
      <c r="D292" s="51"/>
      <c r="E292" s="51"/>
      <c r="F292" s="51"/>
      <c r="G292" s="51"/>
      <c r="H292" s="52"/>
    </row>
    <row r="293" spans="1:9" x14ac:dyDescent="0.25">
      <c r="A293" s="52"/>
      <c r="B293" s="321"/>
      <c r="C293" s="52"/>
      <c r="D293" s="52"/>
      <c r="E293" s="52"/>
      <c r="F293" s="52"/>
      <c r="G293" s="52"/>
      <c r="H293" s="52"/>
    </row>
    <row r="294" spans="1:9" x14ac:dyDescent="0.25">
      <c r="A294" s="53" t="s">
        <v>967</v>
      </c>
      <c r="B294" s="53"/>
      <c r="C294" s="53"/>
      <c r="D294" s="52"/>
      <c r="E294" s="52"/>
      <c r="F294" s="52"/>
      <c r="G294" s="52"/>
      <c r="H294" s="52"/>
    </row>
    <row r="295" spans="1:9" ht="26.45" customHeight="1" x14ac:dyDescent="0.25">
      <c r="A295" s="41" t="s">
        <v>0</v>
      </c>
      <c r="B295" s="54" t="s">
        <v>35</v>
      </c>
      <c r="C295" s="54" t="s">
        <v>36</v>
      </c>
      <c r="D295" s="54" t="s">
        <v>632</v>
      </c>
      <c r="E295" s="54" t="s">
        <v>193</v>
      </c>
      <c r="F295" s="54" t="s">
        <v>222</v>
      </c>
      <c r="G295" s="55" t="s">
        <v>37</v>
      </c>
      <c r="H295" s="55" t="s">
        <v>1472</v>
      </c>
      <c r="I295" s="55" t="s">
        <v>186</v>
      </c>
    </row>
    <row r="296" spans="1:9" ht="36" x14ac:dyDescent="0.25">
      <c r="A296" s="210" t="s">
        <v>143</v>
      </c>
      <c r="B296" s="210" t="s">
        <v>953</v>
      </c>
      <c r="C296" s="211" t="s">
        <v>954</v>
      </c>
      <c r="D296" s="212">
        <v>3800000</v>
      </c>
      <c r="E296" s="144">
        <v>3400000</v>
      </c>
      <c r="F296" s="144">
        <v>0</v>
      </c>
      <c r="G296" s="144">
        <v>0</v>
      </c>
      <c r="H296" s="43">
        <f>D296+G296-F296</f>
        <v>3800000</v>
      </c>
      <c r="I296" s="48"/>
    </row>
    <row r="297" spans="1:9" ht="24" x14ac:dyDescent="0.25">
      <c r="A297" s="210" t="s">
        <v>144</v>
      </c>
      <c r="B297" s="210" t="s">
        <v>955</v>
      </c>
      <c r="C297" s="211" t="s">
        <v>956</v>
      </c>
      <c r="D297" s="212">
        <v>1000000</v>
      </c>
      <c r="E297" s="144">
        <v>920000</v>
      </c>
      <c r="F297" s="144">
        <v>0</v>
      </c>
      <c r="G297" s="144">
        <v>920000</v>
      </c>
      <c r="H297" s="43">
        <f>D297+G297</f>
        <v>1920000</v>
      </c>
      <c r="I297" s="48" t="s">
        <v>975</v>
      </c>
    </row>
    <row r="298" spans="1:9" ht="24" x14ac:dyDescent="0.25">
      <c r="A298" s="210" t="s">
        <v>145</v>
      </c>
      <c r="B298" s="210" t="s">
        <v>957</v>
      </c>
      <c r="C298" s="211" t="s">
        <v>958</v>
      </c>
      <c r="D298" s="212">
        <v>4000000</v>
      </c>
      <c r="E298" s="144">
        <v>2800000</v>
      </c>
      <c r="F298" s="144" t="s">
        <v>259</v>
      </c>
      <c r="G298" s="144">
        <v>0</v>
      </c>
      <c r="H298" s="43">
        <f>D298+G298</f>
        <v>4000000</v>
      </c>
      <c r="I298" s="48"/>
    </row>
    <row r="299" spans="1:9" ht="24" x14ac:dyDescent="0.25">
      <c r="A299" s="210" t="s">
        <v>20</v>
      </c>
      <c r="B299" s="210" t="s">
        <v>959</v>
      </c>
      <c r="C299" s="211" t="s">
        <v>960</v>
      </c>
      <c r="D299" s="212">
        <v>400000</v>
      </c>
      <c r="E299" s="144">
        <v>0</v>
      </c>
      <c r="F299" s="144">
        <v>0</v>
      </c>
      <c r="G299" s="144">
        <v>0</v>
      </c>
      <c r="H299" s="43">
        <f>D299+G299</f>
        <v>400000</v>
      </c>
      <c r="I299" s="48"/>
    </row>
    <row r="300" spans="1:9" ht="24" x14ac:dyDescent="0.25">
      <c r="A300" s="210" t="s">
        <v>146</v>
      </c>
      <c r="B300" s="210" t="s">
        <v>961</v>
      </c>
      <c r="C300" s="211" t="s">
        <v>962</v>
      </c>
      <c r="D300" s="212">
        <v>500000</v>
      </c>
      <c r="E300" s="144">
        <v>0</v>
      </c>
      <c r="F300" s="144">
        <v>0</v>
      </c>
      <c r="G300" s="144">
        <v>0</v>
      </c>
      <c r="H300" s="43">
        <f>D300+G300</f>
        <v>500000</v>
      </c>
      <c r="I300" s="48"/>
    </row>
    <row r="301" spans="1:9" ht="24" x14ac:dyDescent="0.25">
      <c r="A301" s="210" t="s">
        <v>21</v>
      </c>
      <c r="B301" s="210" t="s">
        <v>963</v>
      </c>
      <c r="C301" s="211" t="s">
        <v>964</v>
      </c>
      <c r="D301" s="212">
        <v>300000</v>
      </c>
      <c r="E301" s="144">
        <v>0</v>
      </c>
      <c r="F301" s="144">
        <v>0</v>
      </c>
      <c r="G301" s="144">
        <v>2000000</v>
      </c>
      <c r="H301" s="43">
        <f>D301+G301</f>
        <v>2300000</v>
      </c>
      <c r="I301" s="48" t="s">
        <v>185</v>
      </c>
    </row>
    <row r="302" spans="1:9" x14ac:dyDescent="0.25">
      <c r="A302" s="266"/>
      <c r="B302" s="266"/>
      <c r="C302" s="266" t="s">
        <v>965</v>
      </c>
      <c r="D302" s="145">
        <f>SUM(D296:D301)</f>
        <v>10000000</v>
      </c>
      <c r="E302" s="145">
        <f>SUM(E296:E301)</f>
        <v>7120000</v>
      </c>
      <c r="F302" s="145">
        <f>SUM(F296:F301)</f>
        <v>0</v>
      </c>
      <c r="G302" s="145">
        <f>SUM(G296:G301)</f>
        <v>2920000</v>
      </c>
      <c r="H302" s="145">
        <f>SUM(H296:H301)</f>
        <v>12920000</v>
      </c>
      <c r="I302" s="48"/>
    </row>
    <row r="318" spans="1:9" x14ac:dyDescent="0.25">
      <c r="A318" s="677" t="s">
        <v>633</v>
      </c>
      <c r="B318" s="677"/>
      <c r="C318" s="677"/>
      <c r="D318" s="677"/>
      <c r="E318" s="677"/>
      <c r="F318" s="677"/>
      <c r="G318" s="677"/>
      <c r="H318" s="677"/>
      <c r="I318" s="677"/>
    </row>
    <row r="319" spans="1:9" x14ac:dyDescent="0.25">
      <c r="A319" s="677" t="s">
        <v>1473</v>
      </c>
      <c r="B319" s="677"/>
      <c r="C319" s="677"/>
      <c r="D319" s="677"/>
      <c r="E319" s="677"/>
      <c r="F319" s="677"/>
      <c r="G319" s="677"/>
      <c r="H319" s="677"/>
      <c r="I319" s="677"/>
    </row>
    <row r="320" spans="1:9" x14ac:dyDescent="0.25">
      <c r="A320" s="677" t="s">
        <v>34</v>
      </c>
      <c r="B320" s="677"/>
      <c r="C320" s="677"/>
      <c r="D320" s="677"/>
      <c r="E320" s="677"/>
      <c r="F320" s="677"/>
      <c r="G320" s="677"/>
      <c r="H320" s="677"/>
      <c r="I320" s="677"/>
    </row>
    <row r="321" spans="1:9" x14ac:dyDescent="0.25">
      <c r="A321" s="207"/>
      <c r="B321" s="207"/>
      <c r="C321" s="207"/>
      <c r="D321" s="207"/>
      <c r="E321" s="207"/>
      <c r="F321" s="207"/>
      <c r="G321" s="207"/>
      <c r="H321" s="207"/>
    </row>
    <row r="322" spans="1:9" x14ac:dyDescent="0.25">
      <c r="A322" s="51" t="s">
        <v>672</v>
      </c>
      <c r="B322" s="51"/>
      <c r="C322" s="51"/>
      <c r="D322" s="51"/>
      <c r="E322" s="51"/>
      <c r="F322" s="51"/>
      <c r="G322" s="51"/>
      <c r="H322" s="52"/>
    </row>
    <row r="323" spans="1:9" x14ac:dyDescent="0.25">
      <c r="A323" s="52"/>
      <c r="B323" s="207"/>
      <c r="C323" s="52"/>
      <c r="D323" s="52"/>
      <c r="E323" s="52"/>
      <c r="F323" s="52"/>
      <c r="G323" s="52"/>
      <c r="H323" s="52"/>
    </row>
    <row r="324" spans="1:9" x14ac:dyDescent="0.25">
      <c r="A324" s="53" t="s">
        <v>673</v>
      </c>
      <c r="B324" s="53"/>
      <c r="C324" s="53"/>
      <c r="D324" s="52"/>
      <c r="E324" s="52"/>
      <c r="F324" s="52"/>
      <c r="G324" s="52"/>
      <c r="H324" s="52"/>
    </row>
    <row r="325" spans="1:9" ht="26.45" customHeight="1" x14ac:dyDescent="0.25">
      <c r="A325" s="41" t="s">
        <v>0</v>
      </c>
      <c r="B325" s="54" t="s">
        <v>35</v>
      </c>
      <c r="C325" s="54" t="s">
        <v>36</v>
      </c>
      <c r="D325" s="54" t="s">
        <v>632</v>
      </c>
      <c r="E325" s="54" t="s">
        <v>193</v>
      </c>
      <c r="F325" s="54" t="s">
        <v>222</v>
      </c>
      <c r="G325" s="55" t="s">
        <v>37</v>
      </c>
      <c r="H325" s="55" t="s">
        <v>1472</v>
      </c>
      <c r="I325" s="55" t="s">
        <v>186</v>
      </c>
    </row>
    <row r="326" spans="1:9" ht="36" x14ac:dyDescent="0.25">
      <c r="A326" s="48">
        <v>1</v>
      </c>
      <c r="B326" s="210" t="s">
        <v>674</v>
      </c>
      <c r="C326" s="211" t="s">
        <v>675</v>
      </c>
      <c r="D326" s="348">
        <v>148000000</v>
      </c>
      <c r="E326" s="98">
        <v>100178271.68000001</v>
      </c>
      <c r="F326" s="98">
        <v>0</v>
      </c>
      <c r="G326" s="44">
        <v>20000000</v>
      </c>
      <c r="H326" s="43">
        <f>D326+G326</f>
        <v>168000000</v>
      </c>
      <c r="I326" s="48" t="s">
        <v>185</v>
      </c>
    </row>
    <row r="327" spans="1:9" ht="24" x14ac:dyDescent="0.25">
      <c r="A327" s="48">
        <v>2</v>
      </c>
      <c r="B327" s="210" t="s">
        <v>676</v>
      </c>
      <c r="C327" s="211" t="s">
        <v>677</v>
      </c>
      <c r="D327" s="348">
        <v>96000000</v>
      </c>
      <c r="E327" s="98">
        <v>85480187.269999996</v>
      </c>
      <c r="F327" s="98">
        <v>0</v>
      </c>
      <c r="G327" s="44">
        <v>80000000</v>
      </c>
      <c r="H327" s="43">
        <f>D327+G327</f>
        <v>176000000</v>
      </c>
      <c r="I327" s="48" t="s">
        <v>185</v>
      </c>
    </row>
    <row r="328" spans="1:9" x14ac:dyDescent="0.25">
      <c r="A328" s="30"/>
      <c r="B328" s="28"/>
      <c r="C328" s="56" t="s">
        <v>38</v>
      </c>
      <c r="D328" s="62">
        <f>SUM(D326:D327)</f>
        <v>244000000</v>
      </c>
      <c r="E328" s="62">
        <f>SUM(E326:E327)</f>
        <v>185658458.94999999</v>
      </c>
      <c r="F328" s="239">
        <f>SUM(F326:F327)</f>
        <v>0</v>
      </c>
      <c r="G328" s="62">
        <f>SUM(G326:G327)</f>
        <v>100000000</v>
      </c>
      <c r="H328" s="62">
        <f>SUM(H326:H327)</f>
        <v>344000000</v>
      </c>
      <c r="I328" s="30"/>
    </row>
    <row r="349" spans="1:9" x14ac:dyDescent="0.25">
      <c r="A349" s="677" t="s">
        <v>633</v>
      </c>
      <c r="B349" s="677"/>
      <c r="C349" s="677"/>
      <c r="D349" s="677"/>
      <c r="E349" s="677"/>
      <c r="F349" s="677"/>
      <c r="G349" s="677"/>
      <c r="H349" s="677"/>
      <c r="I349" s="677"/>
    </row>
    <row r="350" spans="1:9" x14ac:dyDescent="0.25">
      <c r="A350" s="677" t="s">
        <v>1473</v>
      </c>
      <c r="B350" s="677"/>
      <c r="C350" s="677"/>
      <c r="D350" s="677"/>
      <c r="E350" s="677"/>
      <c r="F350" s="677"/>
      <c r="G350" s="677"/>
      <c r="H350" s="677"/>
      <c r="I350" s="677"/>
    </row>
    <row r="351" spans="1:9" x14ac:dyDescent="0.25">
      <c r="A351" s="677" t="s">
        <v>34</v>
      </c>
      <c r="B351" s="677"/>
      <c r="C351" s="677"/>
      <c r="D351" s="677"/>
      <c r="E351" s="677"/>
      <c r="F351" s="677"/>
      <c r="G351" s="677"/>
      <c r="H351" s="677"/>
      <c r="I351" s="677"/>
    </row>
    <row r="352" spans="1:9" x14ac:dyDescent="0.25">
      <c r="A352" s="207"/>
      <c r="B352" s="207"/>
      <c r="C352" s="207"/>
      <c r="D352" s="207"/>
      <c r="E352" s="207"/>
      <c r="F352" s="207"/>
      <c r="G352" s="207"/>
      <c r="H352" s="207"/>
    </row>
    <row r="353" spans="1:9" x14ac:dyDescent="0.25">
      <c r="A353" s="51" t="s">
        <v>678</v>
      </c>
      <c r="B353" s="51"/>
      <c r="C353" s="51"/>
      <c r="D353" s="51"/>
      <c r="E353" s="51"/>
      <c r="F353" s="51"/>
      <c r="G353" s="51"/>
      <c r="H353" s="52"/>
    </row>
    <row r="354" spans="1:9" x14ac:dyDescent="0.25">
      <c r="A354" s="52"/>
      <c r="B354" s="207"/>
      <c r="C354" s="52"/>
      <c r="D354" s="52"/>
      <c r="E354" s="52"/>
      <c r="F354" s="52"/>
      <c r="G354" s="52"/>
      <c r="H354" s="52"/>
    </row>
    <row r="355" spans="1:9" x14ac:dyDescent="0.25">
      <c r="A355" s="53" t="s">
        <v>679</v>
      </c>
      <c r="B355" s="53"/>
      <c r="C355" s="53"/>
      <c r="D355" s="52"/>
      <c r="E355" s="52"/>
      <c r="F355" s="52"/>
      <c r="G355" s="52"/>
      <c r="H355" s="52"/>
    </row>
    <row r="356" spans="1:9" ht="26.45" customHeight="1" x14ac:dyDescent="0.25">
      <c r="A356" s="41" t="s">
        <v>0</v>
      </c>
      <c r="B356" s="54" t="s">
        <v>35</v>
      </c>
      <c r="C356" s="54" t="s">
        <v>36</v>
      </c>
      <c r="D356" s="54" t="s">
        <v>632</v>
      </c>
      <c r="E356" s="54" t="s">
        <v>193</v>
      </c>
      <c r="F356" s="54" t="s">
        <v>222</v>
      </c>
      <c r="G356" s="55" t="s">
        <v>37</v>
      </c>
      <c r="H356" s="55" t="s">
        <v>1472</v>
      </c>
      <c r="I356" s="55" t="s">
        <v>186</v>
      </c>
    </row>
    <row r="357" spans="1:9" x14ac:dyDescent="0.25">
      <c r="A357" s="48">
        <v>1</v>
      </c>
      <c r="B357" s="210" t="s">
        <v>680</v>
      </c>
      <c r="C357" s="211" t="s">
        <v>681</v>
      </c>
      <c r="D357" s="212">
        <v>6000000</v>
      </c>
      <c r="E357" s="98">
        <v>0</v>
      </c>
      <c r="F357" s="98">
        <v>0</v>
      </c>
      <c r="G357" s="98">
        <v>0</v>
      </c>
      <c r="H357" s="43">
        <f t="shared" ref="H357:H365" si="9">D357+G357</f>
        <v>6000000</v>
      </c>
      <c r="I357" s="48"/>
    </row>
    <row r="358" spans="1:9" x14ac:dyDescent="0.25">
      <c r="A358" s="48">
        <v>2</v>
      </c>
      <c r="B358" s="210" t="s">
        <v>682</v>
      </c>
      <c r="C358" s="211" t="s">
        <v>683</v>
      </c>
      <c r="D358" s="212">
        <v>1000000</v>
      </c>
      <c r="E358" s="98">
        <v>0</v>
      </c>
      <c r="F358" s="98">
        <v>0</v>
      </c>
      <c r="G358" s="98">
        <v>0</v>
      </c>
      <c r="H358" s="43">
        <f t="shared" si="9"/>
        <v>1000000</v>
      </c>
      <c r="I358" s="48"/>
    </row>
    <row r="359" spans="1:9" x14ac:dyDescent="0.25">
      <c r="A359" s="48">
        <v>3</v>
      </c>
      <c r="B359" s="210" t="s">
        <v>684</v>
      </c>
      <c r="C359" s="211" t="s">
        <v>685</v>
      </c>
      <c r="D359" s="212">
        <v>750000</v>
      </c>
      <c r="E359" s="98">
        <v>0</v>
      </c>
      <c r="F359" s="98">
        <v>0</v>
      </c>
      <c r="G359" s="98">
        <v>0</v>
      </c>
      <c r="H359" s="43">
        <f t="shared" si="9"/>
        <v>750000</v>
      </c>
      <c r="I359" s="48"/>
    </row>
    <row r="360" spans="1:9" x14ac:dyDescent="0.25">
      <c r="A360" s="48">
        <v>4</v>
      </c>
      <c r="B360" s="210" t="s">
        <v>686</v>
      </c>
      <c r="C360" s="211" t="s">
        <v>687</v>
      </c>
      <c r="D360" s="212">
        <v>750000</v>
      </c>
      <c r="E360" s="98">
        <v>0</v>
      </c>
      <c r="F360" s="98">
        <v>0</v>
      </c>
      <c r="G360" s="98">
        <v>0</v>
      </c>
      <c r="H360" s="43">
        <f t="shared" si="9"/>
        <v>750000</v>
      </c>
      <c r="I360" s="48"/>
    </row>
    <row r="361" spans="1:9" x14ac:dyDescent="0.25">
      <c r="A361" s="48">
        <v>5</v>
      </c>
      <c r="B361" s="210" t="s">
        <v>688</v>
      </c>
      <c r="C361" s="211" t="s">
        <v>689</v>
      </c>
      <c r="D361" s="212">
        <v>500000</v>
      </c>
      <c r="E361" s="98">
        <v>0</v>
      </c>
      <c r="F361" s="98">
        <v>0</v>
      </c>
      <c r="G361" s="98">
        <v>0</v>
      </c>
      <c r="H361" s="43">
        <f t="shared" si="9"/>
        <v>500000</v>
      </c>
      <c r="I361" s="48"/>
    </row>
    <row r="362" spans="1:9" ht="36" x14ac:dyDescent="0.25">
      <c r="A362" s="48">
        <v>6</v>
      </c>
      <c r="B362" s="210" t="s">
        <v>690</v>
      </c>
      <c r="C362" s="211" t="s">
        <v>691</v>
      </c>
      <c r="D362" s="212">
        <v>10000000</v>
      </c>
      <c r="E362" s="98">
        <v>0</v>
      </c>
      <c r="F362" s="98">
        <v>0</v>
      </c>
      <c r="G362" s="98">
        <v>0</v>
      </c>
      <c r="H362" s="43">
        <f t="shared" si="9"/>
        <v>10000000</v>
      </c>
      <c r="I362" s="48"/>
    </row>
    <row r="363" spans="1:9" x14ac:dyDescent="0.25">
      <c r="A363" s="48">
        <v>7</v>
      </c>
      <c r="B363" s="210" t="s">
        <v>692</v>
      </c>
      <c r="C363" s="211" t="s">
        <v>693</v>
      </c>
      <c r="D363" s="212">
        <v>3000000</v>
      </c>
      <c r="E363" s="98">
        <v>2500000</v>
      </c>
      <c r="F363" s="98">
        <v>0</v>
      </c>
      <c r="G363" s="98">
        <v>2000000</v>
      </c>
      <c r="H363" s="43">
        <f t="shared" si="9"/>
        <v>5000000</v>
      </c>
      <c r="I363" s="48" t="s">
        <v>185</v>
      </c>
    </row>
    <row r="364" spans="1:9" x14ac:dyDescent="0.25">
      <c r="A364" s="48">
        <v>8</v>
      </c>
      <c r="B364" s="210" t="s">
        <v>694</v>
      </c>
      <c r="C364" s="211" t="s">
        <v>695</v>
      </c>
      <c r="D364" s="212">
        <v>500000</v>
      </c>
      <c r="E364" s="98">
        <v>0</v>
      </c>
      <c r="F364" s="98">
        <v>0</v>
      </c>
      <c r="G364" s="98">
        <v>0</v>
      </c>
      <c r="H364" s="43">
        <f t="shared" si="9"/>
        <v>500000</v>
      </c>
      <c r="I364" s="48"/>
    </row>
    <row r="365" spans="1:9" ht="24" x14ac:dyDescent="0.25">
      <c r="A365" s="48">
        <v>9</v>
      </c>
      <c r="B365" s="210" t="s">
        <v>696</v>
      </c>
      <c r="C365" s="211" t="s">
        <v>697</v>
      </c>
      <c r="D365" s="212">
        <v>2500000</v>
      </c>
      <c r="E365" s="98">
        <v>0</v>
      </c>
      <c r="F365" s="98">
        <v>0</v>
      </c>
      <c r="G365" s="98">
        <v>0</v>
      </c>
      <c r="H365" s="43">
        <f t="shared" si="9"/>
        <v>2500000</v>
      </c>
      <c r="I365" s="48"/>
    </row>
    <row r="366" spans="1:9" x14ac:dyDescent="0.25">
      <c r="A366" s="30"/>
      <c r="B366" s="28"/>
      <c r="C366" s="56" t="s">
        <v>38</v>
      </c>
      <c r="D366" s="62">
        <f>SUM(D357:D365)</f>
        <v>25000000</v>
      </c>
      <c r="E366" s="62"/>
      <c r="F366" s="98">
        <v>0</v>
      </c>
      <c r="G366" s="62">
        <f>SUM(G357:G365)</f>
        <v>2000000</v>
      </c>
      <c r="H366" s="62">
        <f>SUM(H357:H365)</f>
        <v>27000000</v>
      </c>
      <c r="I366" s="30"/>
    </row>
    <row r="380" spans="1:9" x14ac:dyDescent="0.25">
      <c r="A380" s="677" t="s">
        <v>633</v>
      </c>
      <c r="B380" s="677"/>
      <c r="C380" s="677"/>
      <c r="D380" s="677"/>
      <c r="E380" s="677"/>
      <c r="F380" s="677"/>
      <c r="G380" s="677"/>
      <c r="H380" s="677"/>
      <c r="I380" s="677"/>
    </row>
    <row r="381" spans="1:9" x14ac:dyDescent="0.25">
      <c r="A381" s="677" t="s">
        <v>1473</v>
      </c>
      <c r="B381" s="677"/>
      <c r="C381" s="677"/>
      <c r="D381" s="677"/>
      <c r="E381" s="677"/>
      <c r="F381" s="677"/>
      <c r="G381" s="677"/>
      <c r="H381" s="677"/>
      <c r="I381" s="677"/>
    </row>
    <row r="382" spans="1:9" x14ac:dyDescent="0.25">
      <c r="A382" s="677" t="s">
        <v>34</v>
      </c>
      <c r="B382" s="677"/>
      <c r="C382" s="677"/>
      <c r="D382" s="677"/>
      <c r="E382" s="677"/>
      <c r="F382" s="677"/>
      <c r="G382" s="677"/>
      <c r="H382" s="677"/>
      <c r="I382" s="677"/>
    </row>
    <row r="383" spans="1:9" x14ac:dyDescent="0.25">
      <c r="A383" s="581"/>
      <c r="B383" s="581"/>
      <c r="C383" s="581"/>
      <c r="D383" s="581"/>
      <c r="E383" s="581"/>
      <c r="F383" s="581"/>
      <c r="G383" s="581"/>
      <c r="H383" s="581"/>
    </row>
    <row r="384" spans="1:9" x14ac:dyDescent="0.25">
      <c r="A384" s="51" t="s">
        <v>1436</v>
      </c>
      <c r="B384" s="51"/>
      <c r="C384" s="51"/>
      <c r="D384" s="51"/>
      <c r="E384" s="51"/>
      <c r="F384" s="51"/>
      <c r="G384" s="51"/>
      <c r="H384" s="52"/>
    </row>
    <row r="385" spans="1:9" x14ac:dyDescent="0.25">
      <c r="A385" s="52"/>
      <c r="B385" s="581"/>
      <c r="C385" s="52"/>
      <c r="D385" s="52"/>
      <c r="E385" s="52"/>
      <c r="F385" s="52"/>
      <c r="G385" s="52"/>
      <c r="H385" s="52"/>
    </row>
    <row r="386" spans="1:9" x14ac:dyDescent="0.25">
      <c r="A386" s="53" t="s">
        <v>1437</v>
      </c>
      <c r="B386" s="53"/>
      <c r="C386" s="53"/>
      <c r="D386" s="52"/>
      <c r="E386" s="52"/>
      <c r="F386" s="52"/>
      <c r="G386" s="52"/>
      <c r="H386" s="52"/>
    </row>
    <row r="387" spans="1:9" ht="26.45" customHeight="1" x14ac:dyDescent="0.25">
      <c r="A387" s="41" t="s">
        <v>0</v>
      </c>
      <c r="B387" s="54" t="s">
        <v>35</v>
      </c>
      <c r="C387" s="54" t="s">
        <v>36</v>
      </c>
      <c r="D387" s="54" t="s">
        <v>632</v>
      </c>
      <c r="E387" s="54" t="s">
        <v>193</v>
      </c>
      <c r="F387" s="54" t="s">
        <v>222</v>
      </c>
      <c r="G387" s="55" t="s">
        <v>37</v>
      </c>
      <c r="H387" s="55" t="s">
        <v>1472</v>
      </c>
      <c r="I387" s="55" t="s">
        <v>186</v>
      </c>
    </row>
    <row r="388" spans="1:9" x14ac:dyDescent="0.25">
      <c r="A388" s="48">
        <v>1</v>
      </c>
      <c r="B388" s="210" t="s">
        <v>1412</v>
      </c>
      <c r="C388" s="211" t="s">
        <v>1413</v>
      </c>
      <c r="D388" s="212">
        <v>6000000</v>
      </c>
      <c r="E388" s="98">
        <v>0</v>
      </c>
      <c r="F388" s="98">
        <v>0</v>
      </c>
      <c r="G388" s="98">
        <v>0</v>
      </c>
      <c r="H388" s="43">
        <f t="shared" ref="H388:H399" si="10">D388+G388</f>
        <v>6000000</v>
      </c>
      <c r="I388" s="48"/>
    </row>
    <row r="389" spans="1:9" ht="24" x14ac:dyDescent="0.25">
      <c r="A389" s="48">
        <v>2</v>
      </c>
      <c r="B389" s="210" t="s">
        <v>1414</v>
      </c>
      <c r="C389" s="211" t="s">
        <v>1415</v>
      </c>
      <c r="D389" s="212">
        <v>2000000</v>
      </c>
      <c r="E389" s="98">
        <v>0</v>
      </c>
      <c r="F389" s="98">
        <v>0</v>
      </c>
      <c r="G389" s="98">
        <v>0</v>
      </c>
      <c r="H389" s="43">
        <f t="shared" si="10"/>
        <v>2000000</v>
      </c>
      <c r="I389" s="48"/>
    </row>
    <row r="390" spans="1:9" x14ac:dyDescent="0.25">
      <c r="A390" s="48">
        <v>3</v>
      </c>
      <c r="B390" s="210" t="s">
        <v>1416</v>
      </c>
      <c r="C390" s="211" t="s">
        <v>1417</v>
      </c>
      <c r="D390" s="212">
        <v>2000000</v>
      </c>
      <c r="E390" s="98">
        <v>0</v>
      </c>
      <c r="F390" s="98">
        <v>0</v>
      </c>
      <c r="G390" s="98">
        <v>0</v>
      </c>
      <c r="H390" s="43">
        <f t="shared" si="10"/>
        <v>2000000</v>
      </c>
      <c r="I390" s="48"/>
    </row>
    <row r="391" spans="1:9" ht="24" x14ac:dyDescent="0.25">
      <c r="A391" s="48">
        <v>4</v>
      </c>
      <c r="B391" s="210" t="s">
        <v>1418</v>
      </c>
      <c r="C391" s="211" t="s">
        <v>1419</v>
      </c>
      <c r="D391" s="212">
        <v>5000000</v>
      </c>
      <c r="E391" s="98">
        <v>0</v>
      </c>
      <c r="F391" s="98">
        <v>0</v>
      </c>
      <c r="G391" s="98">
        <v>5000000</v>
      </c>
      <c r="H391" s="43">
        <f t="shared" si="10"/>
        <v>10000000</v>
      </c>
      <c r="I391" s="48" t="s">
        <v>185</v>
      </c>
    </row>
    <row r="392" spans="1:9" ht="24" x14ac:dyDescent="0.25">
      <c r="A392" s="48">
        <v>5</v>
      </c>
      <c r="B392" s="210" t="s">
        <v>1420</v>
      </c>
      <c r="C392" s="211" t="s">
        <v>1421</v>
      </c>
      <c r="D392" s="212">
        <v>5000000</v>
      </c>
      <c r="E392" s="98">
        <v>0</v>
      </c>
      <c r="F392" s="98">
        <v>0</v>
      </c>
      <c r="G392" s="98">
        <v>0</v>
      </c>
      <c r="H392" s="43">
        <f t="shared" si="10"/>
        <v>5000000</v>
      </c>
      <c r="I392" s="48"/>
    </row>
    <row r="393" spans="1:9" ht="24" x14ac:dyDescent="0.25">
      <c r="A393" s="48">
        <v>6</v>
      </c>
      <c r="B393" s="210" t="s">
        <v>1422</v>
      </c>
      <c r="C393" s="211" t="s">
        <v>1423</v>
      </c>
      <c r="D393" s="212">
        <v>2000000</v>
      </c>
      <c r="E393" s="98">
        <v>0</v>
      </c>
      <c r="F393" s="98">
        <v>0</v>
      </c>
      <c r="G393" s="98">
        <v>0</v>
      </c>
      <c r="H393" s="43">
        <f t="shared" si="10"/>
        <v>2000000</v>
      </c>
      <c r="I393" s="48"/>
    </row>
    <row r="394" spans="1:9" ht="24" x14ac:dyDescent="0.25">
      <c r="A394" s="48">
        <v>7</v>
      </c>
      <c r="B394" s="210" t="s">
        <v>1424</v>
      </c>
      <c r="C394" s="211" t="s">
        <v>1425</v>
      </c>
      <c r="D394" s="212">
        <v>2000000</v>
      </c>
      <c r="E394" s="98">
        <v>0</v>
      </c>
      <c r="F394" s="98">
        <v>0</v>
      </c>
      <c r="G394" s="98">
        <v>0</v>
      </c>
      <c r="H394" s="43">
        <f t="shared" si="10"/>
        <v>2000000</v>
      </c>
      <c r="I394" s="48"/>
    </row>
    <row r="395" spans="1:9" x14ac:dyDescent="0.25">
      <c r="A395" s="48">
        <v>8</v>
      </c>
      <c r="B395" s="210" t="s">
        <v>1426</v>
      </c>
      <c r="C395" s="211" t="s">
        <v>1427</v>
      </c>
      <c r="D395" s="594">
        <v>0</v>
      </c>
      <c r="E395" s="98">
        <v>0</v>
      </c>
      <c r="F395" s="98">
        <v>0</v>
      </c>
      <c r="G395" s="98">
        <v>0</v>
      </c>
      <c r="H395" s="43">
        <f t="shared" si="10"/>
        <v>0</v>
      </c>
      <c r="I395" s="48"/>
    </row>
    <row r="396" spans="1:9" x14ac:dyDescent="0.25">
      <c r="A396" s="48">
        <v>9</v>
      </c>
      <c r="B396" s="210" t="s">
        <v>1428</v>
      </c>
      <c r="C396" s="211" t="s">
        <v>1429</v>
      </c>
      <c r="D396" s="212">
        <v>20000000</v>
      </c>
      <c r="E396" s="98">
        <v>0</v>
      </c>
      <c r="F396" s="98">
        <v>0</v>
      </c>
      <c r="G396" s="98">
        <v>0</v>
      </c>
      <c r="H396" s="43">
        <f t="shared" si="10"/>
        <v>20000000</v>
      </c>
      <c r="I396" s="48"/>
    </row>
    <row r="397" spans="1:9" ht="24" x14ac:dyDescent="0.25">
      <c r="A397" s="48">
        <v>10</v>
      </c>
      <c r="B397" s="210" t="s">
        <v>1430</v>
      </c>
      <c r="C397" s="211" t="s">
        <v>1431</v>
      </c>
      <c r="D397" s="212">
        <v>1500000</v>
      </c>
      <c r="E397" s="98">
        <v>0</v>
      </c>
      <c r="F397" s="98">
        <v>0</v>
      </c>
      <c r="G397" s="98">
        <v>0</v>
      </c>
      <c r="H397" s="43">
        <f t="shared" si="10"/>
        <v>1500000</v>
      </c>
      <c r="I397" s="48"/>
    </row>
    <row r="398" spans="1:9" ht="24" x14ac:dyDescent="0.25">
      <c r="A398" s="48">
        <v>11</v>
      </c>
      <c r="B398" s="210" t="s">
        <v>1432</v>
      </c>
      <c r="C398" s="211" t="s">
        <v>1433</v>
      </c>
      <c r="D398" s="212">
        <v>7500000</v>
      </c>
      <c r="E398" s="98">
        <v>0</v>
      </c>
      <c r="F398" s="98">
        <v>0</v>
      </c>
      <c r="G398" s="98">
        <v>0</v>
      </c>
      <c r="H398" s="43">
        <f t="shared" si="10"/>
        <v>7500000</v>
      </c>
      <c r="I398" s="48"/>
    </row>
    <row r="399" spans="1:9" x14ac:dyDescent="0.25">
      <c r="A399" s="48">
        <v>12</v>
      </c>
      <c r="B399" s="210" t="s">
        <v>1434</v>
      </c>
      <c r="C399" s="211" t="s">
        <v>1435</v>
      </c>
      <c r="D399" s="212">
        <v>7000000</v>
      </c>
      <c r="E399" s="98">
        <v>0</v>
      </c>
      <c r="F399" s="98">
        <v>0</v>
      </c>
      <c r="G399" s="98">
        <v>0</v>
      </c>
      <c r="H399" s="43">
        <f t="shared" si="10"/>
        <v>7000000</v>
      </c>
      <c r="I399" s="48"/>
    </row>
    <row r="400" spans="1:9" x14ac:dyDescent="0.25">
      <c r="A400" s="30"/>
      <c r="B400" s="28"/>
      <c r="C400" s="56" t="s">
        <v>38</v>
      </c>
      <c r="D400" s="62">
        <f>SUM(D388:D399)</f>
        <v>60000000</v>
      </c>
      <c r="E400" s="145">
        <f t="shared" ref="E400:H400" si="11">SUM(E388:E399)</f>
        <v>0</v>
      </c>
      <c r="F400" s="145">
        <f t="shared" si="11"/>
        <v>0</v>
      </c>
      <c r="G400" s="62">
        <f t="shared" si="11"/>
        <v>5000000</v>
      </c>
      <c r="H400" s="62">
        <f t="shared" si="11"/>
        <v>65000000</v>
      </c>
      <c r="I400" s="30"/>
    </row>
    <row r="408" spans="1:9" x14ac:dyDescent="0.25">
      <c r="A408" s="677" t="s">
        <v>633</v>
      </c>
      <c r="B408" s="677"/>
      <c r="C408" s="677"/>
      <c r="D408" s="677"/>
      <c r="E408" s="677"/>
      <c r="F408" s="677"/>
      <c r="G408" s="677"/>
      <c r="H408" s="677"/>
      <c r="I408" s="677"/>
    </row>
    <row r="409" spans="1:9" x14ac:dyDescent="0.25">
      <c r="A409" s="677" t="s">
        <v>1473</v>
      </c>
      <c r="B409" s="677"/>
      <c r="C409" s="677"/>
      <c r="D409" s="677"/>
      <c r="E409" s="677"/>
      <c r="F409" s="677"/>
      <c r="G409" s="677"/>
      <c r="H409" s="677"/>
      <c r="I409" s="677"/>
    </row>
    <row r="410" spans="1:9" x14ac:dyDescent="0.25">
      <c r="A410" s="677" t="s">
        <v>34</v>
      </c>
      <c r="B410" s="677"/>
      <c r="C410" s="677"/>
      <c r="D410" s="677"/>
      <c r="E410" s="677"/>
      <c r="F410" s="677"/>
      <c r="G410" s="677"/>
      <c r="H410" s="677"/>
      <c r="I410" s="677"/>
    </row>
    <row r="411" spans="1:9" x14ac:dyDescent="0.25">
      <c r="A411" s="50"/>
      <c r="B411" s="50"/>
      <c r="C411" s="50"/>
      <c r="D411" s="50"/>
      <c r="E411" s="50"/>
      <c r="F411" s="139"/>
      <c r="G411" s="50"/>
      <c r="H411" s="50"/>
    </row>
    <row r="412" spans="1:9" x14ac:dyDescent="0.25">
      <c r="A412" s="61" t="s">
        <v>181</v>
      </c>
      <c r="B412" s="51"/>
      <c r="C412" s="51"/>
      <c r="D412" s="51"/>
      <c r="E412" s="51"/>
      <c r="F412" s="51"/>
      <c r="G412" s="51"/>
      <c r="H412" s="52"/>
    </row>
    <row r="413" spans="1:9" x14ac:dyDescent="0.25">
      <c r="A413" s="52"/>
      <c r="B413" s="50"/>
      <c r="C413" s="52"/>
      <c r="D413" s="52"/>
      <c r="E413" s="52"/>
      <c r="F413" s="52"/>
      <c r="G413" s="52"/>
      <c r="H413" s="52"/>
    </row>
    <row r="414" spans="1:9" x14ac:dyDescent="0.25">
      <c r="A414" s="53" t="s">
        <v>182</v>
      </c>
      <c r="B414" s="53"/>
      <c r="C414" s="53"/>
      <c r="D414" s="52"/>
      <c r="E414" s="52"/>
      <c r="F414" s="52"/>
      <c r="G414" s="52"/>
      <c r="H414" s="52"/>
    </row>
    <row r="415" spans="1:9" ht="26.45" customHeight="1" x14ac:dyDescent="0.25">
      <c r="A415" s="41" t="s">
        <v>0</v>
      </c>
      <c r="B415" s="54" t="s">
        <v>35</v>
      </c>
      <c r="C415" s="54" t="s">
        <v>36</v>
      </c>
      <c r="D415" s="54" t="s">
        <v>632</v>
      </c>
      <c r="E415" s="54" t="s">
        <v>193</v>
      </c>
      <c r="F415" s="54" t="s">
        <v>222</v>
      </c>
      <c r="G415" s="55" t="s">
        <v>37</v>
      </c>
      <c r="H415" s="55" t="s">
        <v>1472</v>
      </c>
      <c r="I415" s="55" t="s">
        <v>186</v>
      </c>
    </row>
    <row r="416" spans="1:9" x14ac:dyDescent="0.25">
      <c r="A416" s="32">
        <v>1</v>
      </c>
      <c r="B416" s="210" t="s">
        <v>600</v>
      </c>
      <c r="C416" s="211" t="s">
        <v>155</v>
      </c>
      <c r="D416" s="348">
        <v>100000000</v>
      </c>
      <c r="E416" s="144">
        <v>94354500</v>
      </c>
      <c r="F416" s="144">
        <v>0</v>
      </c>
      <c r="G416" s="144">
        <v>25000000</v>
      </c>
      <c r="H416" s="43">
        <f t="shared" ref="H416:H431" si="12">D416+G416</f>
        <v>125000000</v>
      </c>
      <c r="I416" s="48" t="s">
        <v>185</v>
      </c>
    </row>
    <row r="417" spans="1:9" x14ac:dyDescent="0.25">
      <c r="A417" s="32">
        <v>2</v>
      </c>
      <c r="B417" s="210" t="s">
        <v>601</v>
      </c>
      <c r="C417" s="211" t="s">
        <v>156</v>
      </c>
      <c r="D417" s="348">
        <v>300000000</v>
      </c>
      <c r="E417" s="144">
        <v>0</v>
      </c>
      <c r="F417" s="144">
        <v>0</v>
      </c>
      <c r="G417" s="224"/>
      <c r="H417" s="43">
        <f t="shared" si="12"/>
        <v>300000000</v>
      </c>
      <c r="I417" s="48"/>
    </row>
    <row r="418" spans="1:9" ht="24" x14ac:dyDescent="0.25">
      <c r="A418" s="32">
        <v>3</v>
      </c>
      <c r="B418" s="210" t="s">
        <v>602</v>
      </c>
      <c r="C418" s="211" t="s">
        <v>157</v>
      </c>
      <c r="D418" s="348">
        <v>100000000</v>
      </c>
      <c r="E418" s="144">
        <v>116613076.63</v>
      </c>
      <c r="F418" s="144">
        <v>0</v>
      </c>
      <c r="G418" s="144">
        <v>109000000</v>
      </c>
      <c r="H418" s="43">
        <f t="shared" si="12"/>
        <v>209000000</v>
      </c>
      <c r="I418" s="48" t="s">
        <v>185</v>
      </c>
    </row>
    <row r="419" spans="1:9" x14ac:dyDescent="0.25">
      <c r="A419" s="32">
        <v>4</v>
      </c>
      <c r="B419" s="210" t="s">
        <v>603</v>
      </c>
      <c r="C419" s="211" t="s">
        <v>158</v>
      </c>
      <c r="D419" s="348">
        <v>60000000</v>
      </c>
      <c r="E419" s="144">
        <v>44768212</v>
      </c>
      <c r="F419" s="144">
        <v>0</v>
      </c>
      <c r="G419" s="144">
        <v>75000000</v>
      </c>
      <c r="H419" s="43">
        <f t="shared" si="12"/>
        <v>135000000</v>
      </c>
      <c r="I419" s="48"/>
    </row>
    <row r="420" spans="1:9" x14ac:dyDescent="0.25">
      <c r="A420" s="32">
        <v>5</v>
      </c>
      <c r="B420" s="210" t="s">
        <v>604</v>
      </c>
      <c r="C420" s="211" t="s">
        <v>159</v>
      </c>
      <c r="D420" s="348">
        <v>140000000</v>
      </c>
      <c r="E420" s="144">
        <v>178386855.56</v>
      </c>
      <c r="F420" s="144">
        <v>0</v>
      </c>
      <c r="G420" s="144">
        <v>100000000</v>
      </c>
      <c r="H420" s="43">
        <f t="shared" si="12"/>
        <v>240000000</v>
      </c>
      <c r="I420" s="48" t="s">
        <v>185</v>
      </c>
    </row>
    <row r="421" spans="1:9" x14ac:dyDescent="0.25">
      <c r="A421" s="32">
        <v>6</v>
      </c>
      <c r="B421" s="210" t="s">
        <v>605</v>
      </c>
      <c r="C421" s="211" t="s">
        <v>160</v>
      </c>
      <c r="D421" s="348">
        <v>2500000000</v>
      </c>
      <c r="E421" s="144">
        <v>3973631757.1399999</v>
      </c>
      <c r="F421" s="144">
        <v>0</v>
      </c>
      <c r="G421" s="224">
        <v>1850000000</v>
      </c>
      <c r="H421" s="43">
        <f t="shared" si="12"/>
        <v>4350000000</v>
      </c>
      <c r="I421" s="48" t="s">
        <v>185</v>
      </c>
    </row>
    <row r="422" spans="1:9" x14ac:dyDescent="0.25">
      <c r="A422" s="32">
        <v>7</v>
      </c>
      <c r="B422" s="210" t="s">
        <v>606</v>
      </c>
      <c r="C422" s="211" t="s">
        <v>161</v>
      </c>
      <c r="D422" s="348">
        <v>4000000</v>
      </c>
      <c r="E422" s="144">
        <v>0</v>
      </c>
      <c r="F422" s="144">
        <v>0</v>
      </c>
      <c r="G422" s="144">
        <v>0</v>
      </c>
      <c r="H422" s="43">
        <f t="shared" si="12"/>
        <v>4000000</v>
      </c>
      <c r="I422" s="48"/>
    </row>
    <row r="423" spans="1:9" ht="24" x14ac:dyDescent="0.25">
      <c r="A423" s="32">
        <v>8</v>
      </c>
      <c r="B423" s="210" t="s">
        <v>607</v>
      </c>
      <c r="C423" s="211" t="s">
        <v>162</v>
      </c>
      <c r="D423" s="348">
        <v>10000000</v>
      </c>
      <c r="E423" s="144">
        <v>9500000</v>
      </c>
      <c r="F423" s="144">
        <v>0</v>
      </c>
      <c r="G423" s="144">
        <v>8000000</v>
      </c>
      <c r="H423" s="49">
        <f t="shared" si="12"/>
        <v>18000000</v>
      </c>
      <c r="I423" s="48" t="s">
        <v>185</v>
      </c>
    </row>
    <row r="424" spans="1:9" ht="24" x14ac:dyDescent="0.25">
      <c r="A424" s="32">
        <v>9</v>
      </c>
      <c r="B424" s="210" t="s">
        <v>608</v>
      </c>
      <c r="C424" s="211" t="s">
        <v>163</v>
      </c>
      <c r="D424" s="348">
        <v>14000000</v>
      </c>
      <c r="E424" s="144">
        <f>12890000+4515000</f>
        <v>17405000</v>
      </c>
      <c r="F424" s="144">
        <v>0</v>
      </c>
      <c r="G424" s="144">
        <v>7000000</v>
      </c>
      <c r="H424" s="43">
        <f t="shared" si="12"/>
        <v>21000000</v>
      </c>
      <c r="I424" s="128" t="s">
        <v>1009</v>
      </c>
    </row>
    <row r="425" spans="1:9" x14ac:dyDescent="0.25">
      <c r="A425" s="32">
        <v>10</v>
      </c>
      <c r="B425" s="210" t="s">
        <v>609</v>
      </c>
      <c r="C425" s="211" t="s">
        <v>164</v>
      </c>
      <c r="D425" s="213">
        <v>0</v>
      </c>
      <c r="E425" s="144">
        <v>0</v>
      </c>
      <c r="F425" s="144">
        <v>0</v>
      </c>
      <c r="G425" s="144">
        <v>0</v>
      </c>
      <c r="H425" s="43">
        <f t="shared" si="12"/>
        <v>0</v>
      </c>
      <c r="I425" s="48"/>
    </row>
    <row r="426" spans="1:9" ht="24" x14ac:dyDescent="0.25">
      <c r="A426" s="32">
        <v>11</v>
      </c>
      <c r="B426" s="210" t="s">
        <v>610</v>
      </c>
      <c r="C426" s="211" t="s">
        <v>165</v>
      </c>
      <c r="D426" s="348">
        <v>5000000</v>
      </c>
      <c r="E426" s="144">
        <v>4861500</v>
      </c>
      <c r="F426" s="144">
        <v>0</v>
      </c>
      <c r="G426" s="144">
        <v>5000000</v>
      </c>
      <c r="H426" s="43">
        <f t="shared" si="12"/>
        <v>10000000</v>
      </c>
      <c r="I426" s="48" t="s">
        <v>185</v>
      </c>
    </row>
    <row r="427" spans="1:9" ht="24" x14ac:dyDescent="0.25">
      <c r="A427" s="32">
        <v>12</v>
      </c>
      <c r="B427" s="210" t="s">
        <v>611</v>
      </c>
      <c r="C427" s="211" t="s">
        <v>166</v>
      </c>
      <c r="D427" s="348">
        <v>10000000</v>
      </c>
      <c r="E427" s="144">
        <v>10165000</v>
      </c>
      <c r="F427" s="144">
        <v>0</v>
      </c>
      <c r="G427" s="144">
        <v>25000000</v>
      </c>
      <c r="H427" s="43">
        <f t="shared" si="12"/>
        <v>35000000</v>
      </c>
      <c r="I427" s="48" t="s">
        <v>185</v>
      </c>
    </row>
    <row r="428" spans="1:9" ht="24" x14ac:dyDescent="0.25">
      <c r="A428" s="32">
        <v>13</v>
      </c>
      <c r="B428" s="210" t="s">
        <v>612</v>
      </c>
      <c r="C428" s="211" t="s">
        <v>167</v>
      </c>
      <c r="D428" s="213">
        <v>0</v>
      </c>
      <c r="E428" s="144">
        <v>0</v>
      </c>
      <c r="F428" s="144">
        <v>0</v>
      </c>
      <c r="G428" s="144">
        <v>0</v>
      </c>
      <c r="H428" s="43">
        <f t="shared" si="12"/>
        <v>0</v>
      </c>
      <c r="I428" s="48"/>
    </row>
    <row r="429" spans="1:9" x14ac:dyDescent="0.25">
      <c r="A429" s="32">
        <v>14</v>
      </c>
      <c r="B429" s="210" t="s">
        <v>613</v>
      </c>
      <c r="C429" s="211" t="s">
        <v>168</v>
      </c>
      <c r="D429" s="348">
        <v>1000000</v>
      </c>
      <c r="E429" s="144">
        <v>1000000</v>
      </c>
      <c r="F429" s="144">
        <v>0</v>
      </c>
      <c r="G429" s="144">
        <v>1000000</v>
      </c>
      <c r="H429" s="43">
        <f t="shared" si="12"/>
        <v>2000000</v>
      </c>
      <c r="I429" s="48" t="s">
        <v>185</v>
      </c>
    </row>
    <row r="430" spans="1:9" ht="24" x14ac:dyDescent="0.25">
      <c r="A430" s="32">
        <v>15</v>
      </c>
      <c r="B430" s="210" t="s">
        <v>614</v>
      </c>
      <c r="C430" s="211" t="s">
        <v>169</v>
      </c>
      <c r="D430" s="348">
        <v>8000000</v>
      </c>
      <c r="E430" s="144">
        <f>10972000+7910800</f>
        <v>18882800</v>
      </c>
      <c r="F430" s="144">
        <v>0</v>
      </c>
      <c r="G430" s="144">
        <v>20000000</v>
      </c>
      <c r="H430" s="43">
        <f t="shared" si="12"/>
        <v>28000000</v>
      </c>
      <c r="I430" s="128" t="s">
        <v>1009</v>
      </c>
    </row>
    <row r="431" spans="1:9" ht="24" x14ac:dyDescent="0.25">
      <c r="A431" s="32">
        <v>16</v>
      </c>
      <c r="B431" s="210" t="s">
        <v>615</v>
      </c>
      <c r="C431" s="211" t="s">
        <v>170</v>
      </c>
      <c r="D431" s="213">
        <v>0</v>
      </c>
      <c r="E431" s="144">
        <v>0</v>
      </c>
      <c r="F431" s="144">
        <v>0</v>
      </c>
      <c r="G431" s="144">
        <v>0</v>
      </c>
      <c r="H431" s="43">
        <f t="shared" si="12"/>
        <v>0</v>
      </c>
      <c r="I431" s="48"/>
    </row>
    <row r="432" spans="1:9" ht="24" x14ac:dyDescent="0.25">
      <c r="A432" s="32">
        <v>17</v>
      </c>
      <c r="B432" s="210" t="s">
        <v>616</v>
      </c>
      <c r="C432" s="211" t="s">
        <v>171</v>
      </c>
      <c r="D432" s="348">
        <v>50000000</v>
      </c>
      <c r="E432" s="144">
        <v>0</v>
      </c>
      <c r="F432" s="144">
        <v>40000000</v>
      </c>
      <c r="G432" s="144">
        <v>0</v>
      </c>
      <c r="H432" s="43">
        <f>D432+G432-F432</f>
        <v>10000000</v>
      </c>
      <c r="I432" s="48"/>
    </row>
    <row r="433" spans="1:9" ht="24" x14ac:dyDescent="0.25">
      <c r="A433" s="32">
        <v>18</v>
      </c>
      <c r="B433" s="210" t="s">
        <v>617</v>
      </c>
      <c r="C433" s="211" t="s">
        <v>172</v>
      </c>
      <c r="D433" s="348">
        <v>1000000</v>
      </c>
      <c r="E433" s="144">
        <v>945000</v>
      </c>
      <c r="F433" s="144">
        <v>0</v>
      </c>
      <c r="G433" s="33">
        <v>1000000</v>
      </c>
      <c r="H433" s="43">
        <f>D433+G433</f>
        <v>2000000</v>
      </c>
      <c r="I433" s="48" t="s">
        <v>185</v>
      </c>
    </row>
    <row r="434" spans="1:9" ht="26.45" customHeight="1" x14ac:dyDescent="0.25">
      <c r="A434" s="41" t="s">
        <v>0</v>
      </c>
      <c r="B434" s="54" t="s">
        <v>35</v>
      </c>
      <c r="C434" s="54" t="s">
        <v>36</v>
      </c>
      <c r="D434" s="54" t="s">
        <v>632</v>
      </c>
      <c r="E434" s="54" t="s">
        <v>193</v>
      </c>
      <c r="F434" s="54" t="s">
        <v>222</v>
      </c>
      <c r="G434" s="55" t="s">
        <v>37</v>
      </c>
      <c r="H434" s="55" t="s">
        <v>1472</v>
      </c>
      <c r="I434" s="55" t="s">
        <v>186</v>
      </c>
    </row>
    <row r="435" spans="1:9" ht="24" x14ac:dyDescent="0.25">
      <c r="A435" s="32">
        <v>19</v>
      </c>
      <c r="B435" s="210" t="s">
        <v>618</v>
      </c>
      <c r="C435" s="211" t="s">
        <v>173</v>
      </c>
      <c r="D435" s="348">
        <v>10000000</v>
      </c>
      <c r="E435" s="144">
        <v>0</v>
      </c>
      <c r="F435" s="144">
        <v>0</v>
      </c>
      <c r="G435" s="144">
        <v>0</v>
      </c>
      <c r="H435" s="43">
        <f t="shared" ref="H435:H445" si="13">D435+G435</f>
        <v>10000000</v>
      </c>
      <c r="I435" s="48"/>
    </row>
    <row r="436" spans="1:9" ht="24" x14ac:dyDescent="0.25">
      <c r="A436" s="32">
        <v>20</v>
      </c>
      <c r="B436" s="210" t="s">
        <v>619</v>
      </c>
      <c r="C436" s="211" t="s">
        <v>174</v>
      </c>
      <c r="D436" s="213">
        <v>0</v>
      </c>
      <c r="E436" s="144">
        <v>0</v>
      </c>
      <c r="F436" s="144">
        <v>0</v>
      </c>
      <c r="G436" s="144">
        <v>0</v>
      </c>
      <c r="H436" s="43">
        <f t="shared" si="13"/>
        <v>0</v>
      </c>
      <c r="I436" s="58"/>
    </row>
    <row r="437" spans="1:9" ht="23.25" x14ac:dyDescent="0.25">
      <c r="A437" s="32">
        <v>21</v>
      </c>
      <c r="B437" s="210" t="s">
        <v>620</v>
      </c>
      <c r="C437" s="361" t="s">
        <v>175</v>
      </c>
      <c r="D437" s="348">
        <v>25000000</v>
      </c>
      <c r="E437" s="180">
        <f>25860284.17+25053700</f>
        <v>50913984.170000002</v>
      </c>
      <c r="F437" s="144">
        <v>0</v>
      </c>
      <c r="G437" s="180">
        <v>45000000</v>
      </c>
      <c r="H437" s="43">
        <f t="shared" si="13"/>
        <v>70000000</v>
      </c>
      <c r="I437" s="128" t="s">
        <v>1009</v>
      </c>
    </row>
    <row r="438" spans="1:9" x14ac:dyDescent="0.25">
      <c r="A438" s="32">
        <v>22</v>
      </c>
      <c r="B438" s="210" t="s">
        <v>621</v>
      </c>
      <c r="C438" s="211" t="s">
        <v>176</v>
      </c>
      <c r="D438" s="348">
        <v>4000000</v>
      </c>
      <c r="E438" s="144">
        <v>3976677.14</v>
      </c>
      <c r="F438" s="144">
        <v>0</v>
      </c>
      <c r="G438" s="144">
        <v>2000000</v>
      </c>
      <c r="H438" s="43">
        <f t="shared" si="13"/>
        <v>6000000</v>
      </c>
      <c r="I438" s="48" t="s">
        <v>185</v>
      </c>
    </row>
    <row r="439" spans="1:9" x14ac:dyDescent="0.25">
      <c r="A439" s="32">
        <v>23</v>
      </c>
      <c r="B439" s="210" t="s">
        <v>622</v>
      </c>
      <c r="C439" s="211" t="s">
        <v>177</v>
      </c>
      <c r="D439" s="348">
        <v>2000000</v>
      </c>
      <c r="E439" s="144">
        <v>0</v>
      </c>
      <c r="F439" s="144">
        <v>0</v>
      </c>
      <c r="G439" s="144">
        <v>0</v>
      </c>
      <c r="H439" s="43">
        <f t="shared" si="13"/>
        <v>2000000</v>
      </c>
      <c r="I439" s="85"/>
    </row>
    <row r="440" spans="1:9" ht="24" x14ac:dyDescent="0.25">
      <c r="A440" s="32">
        <v>24</v>
      </c>
      <c r="B440" s="210" t="s">
        <v>623</v>
      </c>
      <c r="C440" s="211" t="s">
        <v>178</v>
      </c>
      <c r="D440" s="348">
        <v>5000000</v>
      </c>
      <c r="E440" s="144">
        <v>0</v>
      </c>
      <c r="F440" s="144">
        <v>0</v>
      </c>
      <c r="G440" s="144">
        <v>0</v>
      </c>
      <c r="H440" s="43">
        <f t="shared" si="13"/>
        <v>5000000</v>
      </c>
      <c r="I440" s="48"/>
    </row>
    <row r="441" spans="1:9" ht="24" x14ac:dyDescent="0.25">
      <c r="A441" s="32">
        <v>25</v>
      </c>
      <c r="B441" s="210" t="s">
        <v>624</v>
      </c>
      <c r="C441" s="211" t="s">
        <v>625</v>
      </c>
      <c r="D441" s="348">
        <v>13000000</v>
      </c>
      <c r="E441" s="144">
        <v>11900000</v>
      </c>
      <c r="F441" s="144">
        <v>0</v>
      </c>
      <c r="G441" s="144">
        <v>5000000</v>
      </c>
      <c r="H441" s="43">
        <f t="shared" si="13"/>
        <v>18000000</v>
      </c>
      <c r="I441" s="48" t="s">
        <v>185</v>
      </c>
    </row>
    <row r="442" spans="1:9" x14ac:dyDescent="0.25">
      <c r="A442" s="32">
        <v>26</v>
      </c>
      <c r="B442" s="210" t="s">
        <v>626</v>
      </c>
      <c r="C442" s="211" t="s">
        <v>179</v>
      </c>
      <c r="D442" s="348">
        <v>3000000</v>
      </c>
      <c r="E442" s="144">
        <v>2965000</v>
      </c>
      <c r="F442" s="144">
        <v>0</v>
      </c>
      <c r="G442" s="144">
        <v>3000000</v>
      </c>
      <c r="H442" s="43">
        <f t="shared" si="13"/>
        <v>6000000</v>
      </c>
      <c r="I442" s="48" t="s">
        <v>185</v>
      </c>
    </row>
    <row r="443" spans="1:9" x14ac:dyDescent="0.25">
      <c r="A443" s="32">
        <v>27</v>
      </c>
      <c r="B443" s="210" t="s">
        <v>627</v>
      </c>
      <c r="C443" s="211" t="s">
        <v>180</v>
      </c>
      <c r="D443" s="213">
        <v>0</v>
      </c>
      <c r="E443" s="144">
        <v>0</v>
      </c>
      <c r="F443" s="144">
        <v>0</v>
      </c>
      <c r="G443" s="144">
        <v>0</v>
      </c>
      <c r="H443" s="43">
        <f t="shared" si="13"/>
        <v>0</v>
      </c>
      <c r="I443" s="85"/>
    </row>
    <row r="444" spans="1:9" ht="24" x14ac:dyDescent="0.25">
      <c r="A444" s="32">
        <v>28</v>
      </c>
      <c r="B444" s="210" t="s">
        <v>628</v>
      </c>
      <c r="C444" s="211" t="s">
        <v>629</v>
      </c>
      <c r="D444" s="348">
        <v>3000000</v>
      </c>
      <c r="E444" s="144">
        <v>0</v>
      </c>
      <c r="F444" s="144">
        <v>0</v>
      </c>
      <c r="G444" s="144">
        <v>0</v>
      </c>
      <c r="H444" s="43">
        <f t="shared" si="13"/>
        <v>3000000</v>
      </c>
      <c r="I444" s="48"/>
    </row>
    <row r="445" spans="1:9" x14ac:dyDescent="0.25">
      <c r="A445" s="32">
        <v>29</v>
      </c>
      <c r="B445" s="210" t="s">
        <v>630</v>
      </c>
      <c r="C445" s="211" t="s">
        <v>631</v>
      </c>
      <c r="D445" s="348">
        <v>155000000</v>
      </c>
      <c r="E445" s="144">
        <v>50000000</v>
      </c>
      <c r="F445" s="144">
        <v>0</v>
      </c>
      <c r="G445" s="144">
        <v>0</v>
      </c>
      <c r="H445" s="43">
        <f t="shared" si="13"/>
        <v>155000000</v>
      </c>
      <c r="I445" s="48" t="s">
        <v>975</v>
      </c>
    </row>
    <row r="446" spans="1:9" x14ac:dyDescent="0.25">
      <c r="A446" s="58"/>
      <c r="B446" s="60"/>
      <c r="C446" s="42" t="s">
        <v>38</v>
      </c>
      <c r="D446" s="360">
        <f>SUM(D416:D445)</f>
        <v>3523000000</v>
      </c>
      <c r="E446" s="62">
        <f>SUM(E416:E445)</f>
        <v>4590269362.6400003</v>
      </c>
      <c r="F446" s="145">
        <f>SUM(F416:F445)</f>
        <v>40000000</v>
      </c>
      <c r="G446" s="148">
        <f>SUM(G416:G445)</f>
        <v>2281000000</v>
      </c>
      <c r="H446" s="147">
        <f>SUM(H416:H445)</f>
        <v>5764000000</v>
      </c>
      <c r="I446" s="58"/>
    </row>
    <row r="466" spans="1:9" x14ac:dyDescent="0.25">
      <c r="A466" s="677" t="s">
        <v>633</v>
      </c>
      <c r="B466" s="677"/>
      <c r="C466" s="677"/>
      <c r="D466" s="677"/>
      <c r="E466" s="677"/>
      <c r="F466" s="677"/>
      <c r="G466" s="677"/>
      <c r="H466" s="677"/>
      <c r="I466" s="677"/>
    </row>
    <row r="467" spans="1:9" x14ac:dyDescent="0.25">
      <c r="A467" s="677" t="s">
        <v>1473</v>
      </c>
      <c r="B467" s="677"/>
      <c r="C467" s="677"/>
      <c r="D467" s="677"/>
      <c r="E467" s="677"/>
      <c r="F467" s="677"/>
      <c r="G467" s="677"/>
      <c r="H467" s="677"/>
      <c r="I467" s="677"/>
    </row>
    <row r="468" spans="1:9" x14ac:dyDescent="0.25">
      <c r="A468" s="677" t="s">
        <v>34</v>
      </c>
      <c r="B468" s="677"/>
      <c r="C468" s="677"/>
      <c r="D468" s="677"/>
      <c r="E468" s="677"/>
      <c r="F468" s="677"/>
      <c r="G468" s="677"/>
      <c r="H468" s="677"/>
      <c r="I468" s="677"/>
    </row>
    <row r="469" spans="1:9" x14ac:dyDescent="0.25">
      <c r="A469" s="248"/>
      <c r="B469" s="248"/>
      <c r="C469" s="248"/>
      <c r="D469" s="248"/>
      <c r="E469" s="248"/>
      <c r="F469" s="248"/>
      <c r="G469" s="248"/>
      <c r="H469" s="248"/>
    </row>
    <row r="470" spans="1:9" x14ac:dyDescent="0.25">
      <c r="A470" s="61" t="s">
        <v>715</v>
      </c>
      <c r="B470" s="51"/>
      <c r="C470" s="51"/>
      <c r="D470" s="51"/>
      <c r="E470" s="51"/>
      <c r="F470" s="51"/>
      <c r="G470" s="51"/>
      <c r="H470" s="52"/>
    </row>
    <row r="471" spans="1:9" x14ac:dyDescent="0.25">
      <c r="A471" s="52"/>
      <c r="B471" s="248"/>
      <c r="C471" s="52"/>
      <c r="D471" s="52"/>
      <c r="E471" s="52"/>
      <c r="F471" s="52"/>
      <c r="G471" s="52"/>
      <c r="H471" s="52"/>
    </row>
    <row r="472" spans="1:9" x14ac:dyDescent="0.25">
      <c r="A472" s="53" t="s">
        <v>716</v>
      </c>
      <c r="B472" s="53"/>
      <c r="C472" s="53"/>
      <c r="D472" s="52"/>
      <c r="E472" s="52"/>
      <c r="F472" s="52"/>
      <c r="G472" s="52"/>
      <c r="H472" s="52"/>
    </row>
    <row r="473" spans="1:9" ht="26.45" customHeight="1" x14ac:dyDescent="0.25">
      <c r="A473" s="41" t="s">
        <v>0</v>
      </c>
      <c r="B473" s="54" t="s">
        <v>35</v>
      </c>
      <c r="C473" s="54" t="s">
        <v>36</v>
      </c>
      <c r="D473" s="54" t="s">
        <v>632</v>
      </c>
      <c r="E473" s="54" t="s">
        <v>193</v>
      </c>
      <c r="F473" s="54" t="s">
        <v>222</v>
      </c>
      <c r="G473" s="55" t="s">
        <v>37</v>
      </c>
      <c r="H473" s="55" t="s">
        <v>1472</v>
      </c>
      <c r="I473" s="55" t="s">
        <v>186</v>
      </c>
    </row>
    <row r="474" spans="1:9" ht="24" x14ac:dyDescent="0.25">
      <c r="A474" s="32">
        <v>1</v>
      </c>
      <c r="B474" s="210" t="s">
        <v>612</v>
      </c>
      <c r="C474" s="211" t="s">
        <v>167</v>
      </c>
      <c r="D474" s="212">
        <v>5000000</v>
      </c>
      <c r="E474" s="352">
        <v>4580000</v>
      </c>
      <c r="F474" s="144">
        <v>0</v>
      </c>
      <c r="G474" s="144">
        <v>0</v>
      </c>
      <c r="H474" s="353">
        <f>D474+G474-F474</f>
        <v>5000000</v>
      </c>
      <c r="I474" s="48"/>
    </row>
    <row r="475" spans="1:9" x14ac:dyDescent="0.25">
      <c r="A475" s="32">
        <v>2</v>
      </c>
      <c r="B475" s="210" t="s">
        <v>627</v>
      </c>
      <c r="C475" s="211" t="s">
        <v>180</v>
      </c>
      <c r="D475" s="212">
        <v>15000000</v>
      </c>
      <c r="E475" s="144">
        <v>13998000</v>
      </c>
      <c r="F475" s="144">
        <v>0</v>
      </c>
      <c r="G475" s="144">
        <v>45000000</v>
      </c>
      <c r="H475" s="43">
        <f>D475+G475</f>
        <v>60000000</v>
      </c>
      <c r="I475" s="48" t="s">
        <v>185</v>
      </c>
    </row>
    <row r="476" spans="1:9" x14ac:dyDescent="0.25">
      <c r="A476" s="32"/>
      <c r="B476" s="210"/>
      <c r="C476" s="42" t="s">
        <v>38</v>
      </c>
      <c r="D476" s="145">
        <f>SUM(D474:D475)</f>
        <v>20000000</v>
      </c>
      <c r="E476" s="145">
        <f>SUM(E474:E475)</f>
        <v>18578000</v>
      </c>
      <c r="F476" s="145">
        <f>SUM(F474:F475)</f>
        <v>0</v>
      </c>
      <c r="G476" s="145">
        <f>SUM(G474:G475)</f>
        <v>45000000</v>
      </c>
      <c r="H476" s="145">
        <f>SUM(H474:H475)</f>
        <v>65000000</v>
      </c>
      <c r="I476" s="48"/>
    </row>
    <row r="498" spans="1:9" x14ac:dyDescent="0.25">
      <c r="A498" s="677" t="s">
        <v>633</v>
      </c>
      <c r="B498" s="677"/>
      <c r="C498" s="677"/>
      <c r="D498" s="677"/>
      <c r="E498" s="677"/>
      <c r="F498" s="677"/>
      <c r="G498" s="677"/>
      <c r="H498" s="677"/>
      <c r="I498" s="677"/>
    </row>
    <row r="499" spans="1:9" x14ac:dyDescent="0.25">
      <c r="A499" s="677" t="s">
        <v>1473</v>
      </c>
      <c r="B499" s="677"/>
      <c r="C499" s="677"/>
      <c r="D499" s="677"/>
      <c r="E499" s="677"/>
      <c r="F499" s="677"/>
      <c r="G499" s="677"/>
      <c r="H499" s="677"/>
      <c r="I499" s="677"/>
    </row>
    <row r="500" spans="1:9" x14ac:dyDescent="0.25">
      <c r="A500" s="677" t="s">
        <v>34</v>
      </c>
      <c r="B500" s="677"/>
      <c r="C500" s="677"/>
      <c r="D500" s="677"/>
      <c r="E500" s="677"/>
      <c r="F500" s="677"/>
      <c r="G500" s="677"/>
      <c r="H500" s="677"/>
      <c r="I500" s="677"/>
    </row>
    <row r="501" spans="1:9" x14ac:dyDescent="0.25">
      <c r="A501" s="581"/>
      <c r="B501" s="581"/>
      <c r="C501" s="581"/>
      <c r="D501" s="581"/>
      <c r="E501" s="581"/>
      <c r="F501" s="581"/>
      <c r="G501" s="581"/>
      <c r="H501" s="581"/>
    </row>
    <row r="502" spans="1:9" x14ac:dyDescent="0.25">
      <c r="A502" s="61" t="s">
        <v>1409</v>
      </c>
      <c r="B502" s="51"/>
      <c r="C502" s="51"/>
      <c r="D502" s="51"/>
      <c r="E502" s="51"/>
      <c r="F502" s="51"/>
      <c r="G502" s="51"/>
      <c r="H502" s="52"/>
    </row>
    <row r="503" spans="1:9" x14ac:dyDescent="0.25">
      <c r="A503" s="52"/>
      <c r="B503" s="581"/>
      <c r="C503" s="52"/>
      <c r="D503" s="52"/>
      <c r="E503" s="52"/>
      <c r="F503" s="52"/>
      <c r="G503" s="52"/>
      <c r="H503" s="52"/>
    </row>
    <row r="504" spans="1:9" x14ac:dyDescent="0.25">
      <c r="A504" s="53" t="s">
        <v>1410</v>
      </c>
      <c r="B504" s="53"/>
      <c r="C504" s="53"/>
      <c r="D504" s="52"/>
      <c r="E504" s="52"/>
      <c r="F504" s="52"/>
      <c r="G504" s="52"/>
      <c r="H504" s="52"/>
    </row>
    <row r="505" spans="1:9" ht="26.45" customHeight="1" x14ac:dyDescent="0.25">
      <c r="A505" s="41" t="s">
        <v>0</v>
      </c>
      <c r="B505" s="54" t="s">
        <v>35</v>
      </c>
      <c r="C505" s="54" t="s">
        <v>36</v>
      </c>
      <c r="D505" s="54" t="s">
        <v>632</v>
      </c>
      <c r="E505" s="54" t="s">
        <v>193</v>
      </c>
      <c r="F505" s="54" t="s">
        <v>222</v>
      </c>
      <c r="G505" s="55" t="s">
        <v>37</v>
      </c>
      <c r="H505" s="55" t="s">
        <v>1472</v>
      </c>
      <c r="I505" s="55" t="s">
        <v>186</v>
      </c>
    </row>
    <row r="506" spans="1:9" ht="24" x14ac:dyDescent="0.25">
      <c r="A506" s="32">
        <v>1</v>
      </c>
      <c r="B506" s="210" t="s">
        <v>1385</v>
      </c>
      <c r="C506" s="211" t="s">
        <v>1386</v>
      </c>
      <c r="D506" s="212">
        <v>10000000</v>
      </c>
      <c r="E506" s="144">
        <v>0</v>
      </c>
      <c r="F506" s="144">
        <v>0</v>
      </c>
      <c r="G506" s="144">
        <v>0</v>
      </c>
      <c r="H506" s="353">
        <f>D506+G506-F506</f>
        <v>10000000</v>
      </c>
      <c r="I506" s="48"/>
    </row>
    <row r="507" spans="1:9" ht="24" x14ac:dyDescent="0.25">
      <c r="A507" s="32">
        <v>2</v>
      </c>
      <c r="B507" s="210" t="s">
        <v>1387</v>
      </c>
      <c r="C507" s="211" t="s">
        <v>1388</v>
      </c>
      <c r="D507" s="212">
        <v>6000000</v>
      </c>
      <c r="E507" s="144">
        <v>0</v>
      </c>
      <c r="F507" s="144">
        <v>0</v>
      </c>
      <c r="G507" s="144">
        <v>7000000</v>
      </c>
      <c r="H507" s="43">
        <f>D507+G507</f>
        <v>13000000</v>
      </c>
      <c r="I507" s="48" t="s">
        <v>185</v>
      </c>
    </row>
    <row r="508" spans="1:9" x14ac:dyDescent="0.25">
      <c r="A508" s="32">
        <v>3</v>
      </c>
      <c r="B508" s="210" t="s">
        <v>1389</v>
      </c>
      <c r="C508" s="211" t="s">
        <v>1390</v>
      </c>
      <c r="D508" s="212">
        <v>36000000</v>
      </c>
      <c r="E508" s="144">
        <v>0</v>
      </c>
      <c r="F508" s="144">
        <v>0</v>
      </c>
      <c r="G508" s="144">
        <v>6000000</v>
      </c>
      <c r="H508" s="43">
        <f t="shared" ref="H508:H513" si="14">D508+G508</f>
        <v>42000000</v>
      </c>
      <c r="I508" s="48" t="s">
        <v>185</v>
      </c>
    </row>
    <row r="509" spans="1:9" ht="24" x14ac:dyDescent="0.25">
      <c r="A509" s="32">
        <v>4</v>
      </c>
      <c r="B509" s="210" t="s">
        <v>1391</v>
      </c>
      <c r="C509" s="211" t="s">
        <v>1392</v>
      </c>
      <c r="D509" s="212">
        <v>8500000</v>
      </c>
      <c r="E509" s="144">
        <v>0</v>
      </c>
      <c r="F509" s="144">
        <v>0</v>
      </c>
      <c r="G509" s="144">
        <v>0</v>
      </c>
      <c r="H509" s="43">
        <f t="shared" si="14"/>
        <v>8500000</v>
      </c>
      <c r="I509" s="48"/>
    </row>
    <row r="510" spans="1:9" ht="24" x14ac:dyDescent="0.25">
      <c r="A510" s="32">
        <v>5</v>
      </c>
      <c r="B510" s="210" t="s">
        <v>1393</v>
      </c>
      <c r="C510" s="211" t="s">
        <v>1394</v>
      </c>
      <c r="D510" s="212">
        <v>10000000</v>
      </c>
      <c r="E510" s="144">
        <v>0</v>
      </c>
      <c r="F510" s="144">
        <v>0</v>
      </c>
      <c r="G510" s="144">
        <v>0</v>
      </c>
      <c r="H510" s="43">
        <f t="shared" si="14"/>
        <v>10000000</v>
      </c>
      <c r="I510" s="48"/>
    </row>
    <row r="511" spans="1:9" ht="24" x14ac:dyDescent="0.25">
      <c r="A511" s="32">
        <v>6</v>
      </c>
      <c r="B511" s="210" t="s">
        <v>1395</v>
      </c>
      <c r="C511" s="211" t="s">
        <v>1396</v>
      </c>
      <c r="D511" s="212">
        <v>48500000</v>
      </c>
      <c r="E511" s="144">
        <v>0</v>
      </c>
      <c r="F511" s="144">
        <v>0</v>
      </c>
      <c r="G511" s="144">
        <v>12000000</v>
      </c>
      <c r="H511" s="43">
        <f t="shared" si="14"/>
        <v>60500000</v>
      </c>
      <c r="I511" s="48" t="s">
        <v>185</v>
      </c>
    </row>
    <row r="512" spans="1:9" ht="24" x14ac:dyDescent="0.25">
      <c r="A512" s="32">
        <v>7</v>
      </c>
      <c r="B512" s="210" t="s">
        <v>1397</v>
      </c>
      <c r="C512" s="211" t="s">
        <v>1398</v>
      </c>
      <c r="D512" s="212">
        <v>6000000</v>
      </c>
      <c r="E512" s="144">
        <v>0</v>
      </c>
      <c r="F512" s="144">
        <v>0</v>
      </c>
      <c r="G512" s="144">
        <v>0</v>
      </c>
      <c r="H512" s="43">
        <f t="shared" si="14"/>
        <v>6000000</v>
      </c>
      <c r="I512" s="48"/>
    </row>
    <row r="513" spans="1:9" x14ac:dyDescent="0.25">
      <c r="A513" s="32">
        <v>8</v>
      </c>
      <c r="B513" s="210" t="s">
        <v>1399</v>
      </c>
      <c r="C513" s="211" t="s">
        <v>1400</v>
      </c>
      <c r="D513" s="223">
        <v>0</v>
      </c>
      <c r="E513" s="144">
        <v>0</v>
      </c>
      <c r="F513" s="144">
        <v>0</v>
      </c>
      <c r="G513" s="144">
        <v>0</v>
      </c>
      <c r="H513" s="43">
        <f t="shared" si="14"/>
        <v>0</v>
      </c>
      <c r="I513" s="48"/>
    </row>
    <row r="514" spans="1:9" x14ac:dyDescent="0.25">
      <c r="A514" s="32"/>
      <c r="B514" s="210"/>
      <c r="C514" s="42" t="s">
        <v>38</v>
      </c>
      <c r="D514" s="145">
        <f t="shared" ref="D514:G514" si="15">SUM(D506:D513)</f>
        <v>125000000</v>
      </c>
      <c r="E514" s="145">
        <f t="shared" si="15"/>
        <v>0</v>
      </c>
      <c r="F514" s="145">
        <f t="shared" si="15"/>
        <v>0</v>
      </c>
      <c r="G514" s="145">
        <f t="shared" si="15"/>
        <v>25000000</v>
      </c>
      <c r="H514" s="145">
        <f>SUM(H506:H513)</f>
        <v>150000000</v>
      </c>
      <c r="I514" s="48"/>
    </row>
    <row r="528" spans="1:9" x14ac:dyDescent="0.25">
      <c r="A528" s="677" t="s">
        <v>633</v>
      </c>
      <c r="B528" s="677"/>
      <c r="C528" s="677"/>
      <c r="D528" s="677"/>
      <c r="E528" s="677"/>
      <c r="F528" s="677"/>
      <c r="G528" s="677"/>
      <c r="H528" s="677"/>
      <c r="I528" s="677"/>
    </row>
    <row r="529" spans="1:9" x14ac:dyDescent="0.25">
      <c r="A529" s="677" t="s">
        <v>1473</v>
      </c>
      <c r="B529" s="677"/>
      <c r="C529" s="677"/>
      <c r="D529" s="677"/>
      <c r="E529" s="677"/>
      <c r="F529" s="677"/>
      <c r="G529" s="677"/>
      <c r="H529" s="677"/>
      <c r="I529" s="677"/>
    </row>
    <row r="530" spans="1:9" x14ac:dyDescent="0.25">
      <c r="A530" s="677" t="s">
        <v>34</v>
      </c>
      <c r="B530" s="677"/>
      <c r="C530" s="677"/>
      <c r="D530" s="677"/>
      <c r="E530" s="677"/>
      <c r="F530" s="677"/>
      <c r="G530" s="677"/>
      <c r="H530" s="677"/>
      <c r="I530" s="677"/>
    </row>
    <row r="531" spans="1:9" x14ac:dyDescent="0.25">
      <c r="A531" s="343"/>
      <c r="B531" s="343"/>
      <c r="C531" s="343"/>
      <c r="D531" s="343"/>
      <c r="E531" s="343"/>
      <c r="F531" s="343"/>
      <c r="G531" s="343"/>
      <c r="H531" s="343"/>
    </row>
    <row r="532" spans="1:9" x14ac:dyDescent="0.25">
      <c r="A532" s="61" t="s">
        <v>1070</v>
      </c>
      <c r="B532" s="51"/>
      <c r="C532" s="51"/>
      <c r="D532" s="51"/>
      <c r="E532" s="51"/>
      <c r="F532" s="51"/>
      <c r="G532" s="51"/>
      <c r="H532" s="52"/>
    </row>
    <row r="533" spans="1:9" x14ac:dyDescent="0.25">
      <c r="A533" s="52"/>
      <c r="B533" s="343"/>
      <c r="C533" s="52"/>
      <c r="D533" s="52"/>
      <c r="E533" s="52"/>
      <c r="F533" s="52"/>
      <c r="G533" s="52"/>
      <c r="H533" s="52"/>
    </row>
    <row r="534" spans="1:9" x14ac:dyDescent="0.25">
      <c r="A534" s="53" t="s">
        <v>1071</v>
      </c>
      <c r="B534" s="53"/>
      <c r="C534" s="53"/>
      <c r="D534" s="52"/>
      <c r="E534" s="52"/>
      <c r="F534" s="52"/>
      <c r="G534" s="52"/>
      <c r="H534" s="52"/>
    </row>
    <row r="535" spans="1:9" ht="26.45" customHeight="1" x14ac:dyDescent="0.25">
      <c r="A535" s="41" t="s">
        <v>0</v>
      </c>
      <c r="B535" s="54" t="s">
        <v>35</v>
      </c>
      <c r="C535" s="54" t="s">
        <v>36</v>
      </c>
      <c r="D535" s="54" t="s">
        <v>632</v>
      </c>
      <c r="E535" s="54" t="s">
        <v>193</v>
      </c>
      <c r="F535" s="54" t="s">
        <v>222</v>
      </c>
      <c r="G535" s="55" t="s">
        <v>37</v>
      </c>
      <c r="H535" s="55" t="s">
        <v>1472</v>
      </c>
      <c r="I535" s="55" t="s">
        <v>186</v>
      </c>
    </row>
    <row r="536" spans="1:9" ht="24" x14ac:dyDescent="0.25">
      <c r="A536" s="32">
        <v>1</v>
      </c>
      <c r="B536" s="210" t="s">
        <v>1072</v>
      </c>
      <c r="C536" s="211" t="s">
        <v>1073</v>
      </c>
      <c r="D536" s="212">
        <v>8000000</v>
      </c>
      <c r="E536" s="352">
        <v>6062000</v>
      </c>
      <c r="F536" s="144">
        <v>0</v>
      </c>
      <c r="G536" s="144">
        <v>7000000</v>
      </c>
      <c r="H536" s="353">
        <f>D536+G536-F536</f>
        <v>15000000</v>
      </c>
      <c r="I536" s="48"/>
    </row>
    <row r="537" spans="1:9" x14ac:dyDescent="0.25">
      <c r="A537" s="32"/>
      <c r="B537" s="210"/>
      <c r="C537" s="42" t="s">
        <v>38</v>
      </c>
      <c r="D537" s="145">
        <f>SUM(D536:D536)</f>
        <v>8000000</v>
      </c>
      <c r="E537" s="145">
        <f>SUM(E536:E536)</f>
        <v>6062000</v>
      </c>
      <c r="F537" s="145">
        <f>SUM(F536:F536)</f>
        <v>0</v>
      </c>
      <c r="G537" s="145">
        <f>SUM(G536:G536)</f>
        <v>7000000</v>
      </c>
      <c r="H537" s="145">
        <f>SUM(H536:H536)</f>
        <v>15000000</v>
      </c>
      <c r="I537" s="48"/>
    </row>
    <row r="561" spans="1:9" x14ac:dyDescent="0.25">
      <c r="A561" s="677" t="s">
        <v>633</v>
      </c>
      <c r="B561" s="677"/>
      <c r="C561" s="677"/>
      <c r="D561" s="677"/>
      <c r="E561" s="677"/>
      <c r="F561" s="677"/>
      <c r="G561" s="677"/>
      <c r="H561" s="677"/>
      <c r="I561" s="677"/>
    </row>
    <row r="562" spans="1:9" x14ac:dyDescent="0.25">
      <c r="A562" s="677" t="s">
        <v>1473</v>
      </c>
      <c r="B562" s="677"/>
      <c r="C562" s="677"/>
      <c r="D562" s="677"/>
      <c r="E562" s="677"/>
      <c r="F562" s="677"/>
      <c r="G562" s="677"/>
      <c r="H562" s="677"/>
      <c r="I562" s="677"/>
    </row>
    <row r="563" spans="1:9" x14ac:dyDescent="0.25">
      <c r="A563" s="677" t="s">
        <v>34</v>
      </c>
      <c r="B563" s="677"/>
      <c r="C563" s="677"/>
      <c r="D563" s="677"/>
      <c r="E563" s="677"/>
      <c r="F563" s="677"/>
      <c r="G563" s="677"/>
      <c r="H563" s="677"/>
      <c r="I563" s="677"/>
    </row>
    <row r="564" spans="1:9" x14ac:dyDescent="0.25">
      <c r="A564" s="641"/>
      <c r="B564" s="641"/>
      <c r="C564" s="641"/>
      <c r="D564" s="641"/>
      <c r="E564" s="641"/>
      <c r="F564" s="641"/>
      <c r="G564" s="641"/>
      <c r="H564" s="641"/>
    </row>
    <row r="565" spans="1:9" x14ac:dyDescent="0.25">
      <c r="A565" s="61" t="s">
        <v>1456</v>
      </c>
      <c r="B565" s="51"/>
      <c r="C565" s="51"/>
      <c r="D565" s="51"/>
      <c r="E565" s="51"/>
      <c r="F565" s="51"/>
      <c r="G565" s="51"/>
      <c r="H565" s="52"/>
    </row>
    <row r="566" spans="1:9" x14ac:dyDescent="0.25">
      <c r="A566" s="52"/>
      <c r="B566" s="641"/>
      <c r="C566" s="52"/>
      <c r="D566" s="52"/>
      <c r="E566" s="52"/>
      <c r="F566" s="52"/>
      <c r="G566" s="52"/>
      <c r="H566" s="52"/>
    </row>
    <row r="567" spans="1:9" x14ac:dyDescent="0.25">
      <c r="A567" s="53" t="s">
        <v>1457</v>
      </c>
      <c r="B567" s="53"/>
      <c r="C567" s="53"/>
      <c r="D567" s="52"/>
      <c r="E567" s="52"/>
      <c r="F567" s="52"/>
      <c r="G567" s="52"/>
      <c r="H567" s="52"/>
    </row>
    <row r="568" spans="1:9" ht="26.45" customHeight="1" x14ac:dyDescent="0.25">
      <c r="A568" s="41" t="s">
        <v>0</v>
      </c>
      <c r="B568" s="54" t="s">
        <v>35</v>
      </c>
      <c r="C568" s="54" t="s">
        <v>36</v>
      </c>
      <c r="D568" s="54" t="s">
        <v>632</v>
      </c>
      <c r="E568" s="54" t="s">
        <v>193</v>
      </c>
      <c r="F568" s="54" t="s">
        <v>222</v>
      </c>
      <c r="G568" s="55" t="s">
        <v>37</v>
      </c>
      <c r="H568" s="55" t="s">
        <v>1472</v>
      </c>
      <c r="I568" s="55" t="s">
        <v>186</v>
      </c>
    </row>
    <row r="569" spans="1:9" ht="24" x14ac:dyDescent="0.25">
      <c r="A569" s="32">
        <v>1</v>
      </c>
      <c r="B569" s="210" t="s">
        <v>1458</v>
      </c>
      <c r="C569" s="211" t="s">
        <v>1459</v>
      </c>
      <c r="D569" s="212">
        <v>4000000</v>
      </c>
      <c r="E569" s="144">
        <v>0</v>
      </c>
      <c r="F569" s="144">
        <v>0</v>
      </c>
      <c r="G569" s="144">
        <v>0</v>
      </c>
      <c r="H569" s="353">
        <f>D569+G569-F569</f>
        <v>4000000</v>
      </c>
      <c r="I569" s="48"/>
    </row>
    <row r="570" spans="1:9" ht="24" x14ac:dyDescent="0.25">
      <c r="A570" s="32">
        <v>2</v>
      </c>
      <c r="B570" s="210" t="s">
        <v>1460</v>
      </c>
      <c r="C570" s="211" t="s">
        <v>1461</v>
      </c>
      <c r="D570" s="212">
        <v>2700000</v>
      </c>
      <c r="E570" s="144">
        <v>0</v>
      </c>
      <c r="F570" s="144">
        <v>0</v>
      </c>
      <c r="G570" s="144">
        <v>0</v>
      </c>
      <c r="H570" s="353">
        <f t="shared" ref="H570:H577" si="16">D570+G570-F570</f>
        <v>2700000</v>
      </c>
      <c r="I570" s="48" t="s">
        <v>185</v>
      </c>
    </row>
    <row r="571" spans="1:9" x14ac:dyDescent="0.25">
      <c r="A571" s="32">
        <v>3</v>
      </c>
      <c r="B571" s="210" t="s">
        <v>1462</v>
      </c>
      <c r="C571" s="211" t="s">
        <v>550</v>
      </c>
      <c r="D571" s="212">
        <v>118000000</v>
      </c>
      <c r="E571" s="144">
        <v>0</v>
      </c>
      <c r="F571" s="144">
        <v>60000000</v>
      </c>
      <c r="G571" s="144">
        <v>0</v>
      </c>
      <c r="H571" s="353">
        <f t="shared" si="16"/>
        <v>58000000</v>
      </c>
      <c r="I571" s="48" t="s">
        <v>185</v>
      </c>
    </row>
    <row r="572" spans="1:9" x14ac:dyDescent="0.25">
      <c r="A572" s="32">
        <v>4</v>
      </c>
      <c r="B572" s="210" t="s">
        <v>1463</v>
      </c>
      <c r="C572" s="211" t="s">
        <v>1464</v>
      </c>
      <c r="D572" s="212">
        <v>1000000</v>
      </c>
      <c r="E572" s="144">
        <v>0</v>
      </c>
      <c r="F572" s="144">
        <v>0</v>
      </c>
      <c r="G572" s="144">
        <v>0</v>
      </c>
      <c r="H572" s="353">
        <f t="shared" si="16"/>
        <v>1000000</v>
      </c>
      <c r="I572" s="48"/>
    </row>
    <row r="573" spans="1:9" x14ac:dyDescent="0.25">
      <c r="A573" s="32">
        <v>5</v>
      </c>
      <c r="B573" s="210" t="s">
        <v>1078</v>
      </c>
      <c r="C573" s="211" t="s">
        <v>1097</v>
      </c>
      <c r="D573" s="212">
        <v>2000000</v>
      </c>
      <c r="E573" s="144">
        <v>0</v>
      </c>
      <c r="F573" s="144">
        <v>0</v>
      </c>
      <c r="G573" s="144">
        <v>0</v>
      </c>
      <c r="H573" s="353">
        <f t="shared" si="16"/>
        <v>2000000</v>
      </c>
      <c r="I573" s="48"/>
    </row>
    <row r="574" spans="1:9" ht="36" x14ac:dyDescent="0.25">
      <c r="A574" s="32">
        <v>6</v>
      </c>
      <c r="B574" s="210" t="s">
        <v>1465</v>
      </c>
      <c r="C574" s="211" t="s">
        <v>1466</v>
      </c>
      <c r="D574" s="212">
        <v>3000000</v>
      </c>
      <c r="E574" s="144">
        <v>0</v>
      </c>
      <c r="F574" s="144">
        <v>0</v>
      </c>
      <c r="G574" s="144">
        <v>0</v>
      </c>
      <c r="H574" s="353">
        <f t="shared" si="16"/>
        <v>3000000</v>
      </c>
      <c r="I574" s="48" t="s">
        <v>185</v>
      </c>
    </row>
    <row r="575" spans="1:9" ht="36" x14ac:dyDescent="0.25">
      <c r="A575" s="32">
        <v>7</v>
      </c>
      <c r="B575" s="210" t="s">
        <v>1467</v>
      </c>
      <c r="C575" s="211" t="s">
        <v>1468</v>
      </c>
      <c r="D575" s="212">
        <v>4000000</v>
      </c>
      <c r="E575" s="144">
        <v>0</v>
      </c>
      <c r="F575" s="144">
        <v>0</v>
      </c>
      <c r="G575" s="144">
        <v>0</v>
      </c>
      <c r="H575" s="353">
        <f t="shared" si="16"/>
        <v>4000000</v>
      </c>
      <c r="I575" s="48"/>
    </row>
    <row r="576" spans="1:9" ht="24" x14ac:dyDescent="0.25">
      <c r="A576" s="32">
        <v>8</v>
      </c>
      <c r="B576" s="210" t="s">
        <v>1469</v>
      </c>
      <c r="C576" s="211" t="s">
        <v>1470</v>
      </c>
      <c r="D576" s="212">
        <v>1000000</v>
      </c>
      <c r="E576" s="144">
        <v>0</v>
      </c>
      <c r="F576" s="144">
        <v>0</v>
      </c>
      <c r="G576" s="144">
        <v>0</v>
      </c>
      <c r="H576" s="353">
        <f t="shared" si="16"/>
        <v>1000000</v>
      </c>
      <c r="I576" s="48"/>
    </row>
    <row r="577" spans="1:9" ht="24" x14ac:dyDescent="0.25">
      <c r="A577" s="32"/>
      <c r="B577" s="210" t="s">
        <v>1471</v>
      </c>
      <c r="C577" s="211" t="s">
        <v>551</v>
      </c>
      <c r="D577" s="212">
        <v>25000000</v>
      </c>
      <c r="E577" s="144"/>
      <c r="F577" s="144"/>
      <c r="G577" s="144"/>
      <c r="H577" s="353">
        <f t="shared" si="16"/>
        <v>25000000</v>
      </c>
      <c r="I577" s="48"/>
    </row>
    <row r="578" spans="1:9" x14ac:dyDescent="0.25">
      <c r="A578" s="32"/>
      <c r="B578" s="210"/>
      <c r="C578" s="42" t="s">
        <v>38</v>
      </c>
      <c r="D578" s="145">
        <f>SUM(D569:D577)</f>
        <v>160700000</v>
      </c>
      <c r="E578" s="145">
        <f t="shared" ref="E578:G578" si="17">SUM(E569:E576)</f>
        <v>0</v>
      </c>
      <c r="F578" s="145">
        <f t="shared" si="17"/>
        <v>60000000</v>
      </c>
      <c r="G578" s="145">
        <f t="shared" si="17"/>
        <v>0</v>
      </c>
      <c r="H578" s="145">
        <f>SUM(H569:H577)</f>
        <v>100700000</v>
      </c>
      <c r="I578" s="48"/>
    </row>
    <row r="590" spans="1:9" x14ac:dyDescent="0.25">
      <c r="A590" s="677" t="s">
        <v>633</v>
      </c>
      <c r="B590" s="677"/>
      <c r="C590" s="677"/>
      <c r="D590" s="677"/>
      <c r="E590" s="677"/>
      <c r="F590" s="677"/>
      <c r="G590" s="677"/>
      <c r="H590" s="677"/>
      <c r="I590" s="677"/>
    </row>
    <row r="591" spans="1:9" x14ac:dyDescent="0.25">
      <c r="A591" s="677" t="s">
        <v>1473</v>
      </c>
      <c r="B591" s="677"/>
      <c r="C591" s="677"/>
      <c r="D591" s="677"/>
      <c r="E591" s="677"/>
      <c r="F591" s="677"/>
      <c r="G591" s="677"/>
      <c r="H591" s="677"/>
      <c r="I591" s="677"/>
    </row>
    <row r="592" spans="1:9" x14ac:dyDescent="0.25">
      <c r="A592" s="677" t="s">
        <v>34</v>
      </c>
      <c r="B592" s="677"/>
      <c r="C592" s="677"/>
      <c r="D592" s="677"/>
      <c r="E592" s="677"/>
      <c r="F592" s="677"/>
      <c r="G592" s="677"/>
      <c r="H592" s="677"/>
      <c r="I592" s="677"/>
    </row>
    <row r="593" spans="1:9" x14ac:dyDescent="0.25">
      <c r="A593" s="248"/>
      <c r="B593" s="248"/>
      <c r="C593" s="248"/>
      <c r="D593" s="248"/>
      <c r="E593" s="248"/>
      <c r="F593" s="248"/>
      <c r="G593" s="248"/>
      <c r="H593" s="248"/>
    </row>
    <row r="594" spans="1:9" x14ac:dyDescent="0.25">
      <c r="A594" s="61" t="s">
        <v>1227</v>
      </c>
      <c r="B594" s="51"/>
      <c r="C594" s="51"/>
      <c r="D594" s="51"/>
      <c r="E594" s="51"/>
      <c r="F594" s="51"/>
      <c r="G594" s="51"/>
      <c r="H594" s="52"/>
    </row>
    <row r="595" spans="1:9" x14ac:dyDescent="0.25">
      <c r="A595" s="52"/>
      <c r="B595" s="248"/>
      <c r="C595" s="52"/>
      <c r="D595" s="52"/>
      <c r="E595" s="52"/>
      <c r="F595" s="52"/>
      <c r="G595" s="52"/>
      <c r="H595" s="52"/>
    </row>
    <row r="596" spans="1:9" x14ac:dyDescent="0.25">
      <c r="A596" s="53" t="s">
        <v>1228</v>
      </c>
      <c r="B596" s="53"/>
      <c r="C596" s="53"/>
      <c r="D596" s="52"/>
      <c r="E596" s="52"/>
      <c r="F596" s="52"/>
      <c r="G596" s="52"/>
      <c r="H596" s="52"/>
    </row>
    <row r="597" spans="1:9" ht="26.45" customHeight="1" x14ac:dyDescent="0.25">
      <c r="A597" s="41" t="s">
        <v>0</v>
      </c>
      <c r="B597" s="54" t="s">
        <v>35</v>
      </c>
      <c r="C597" s="54" t="s">
        <v>36</v>
      </c>
      <c r="D597" s="54" t="s">
        <v>632</v>
      </c>
      <c r="E597" s="54" t="s">
        <v>193</v>
      </c>
      <c r="F597" s="54" t="s">
        <v>222</v>
      </c>
      <c r="G597" s="55" t="s">
        <v>37</v>
      </c>
      <c r="H597" s="55" t="s">
        <v>1472</v>
      </c>
      <c r="I597" s="55" t="s">
        <v>186</v>
      </c>
    </row>
    <row r="598" spans="1:9" x14ac:dyDescent="0.25">
      <c r="A598" s="32">
        <v>1</v>
      </c>
      <c r="B598" s="210" t="s">
        <v>557</v>
      </c>
      <c r="C598" s="211" t="s">
        <v>229</v>
      </c>
      <c r="D598" s="212">
        <v>1000000</v>
      </c>
      <c r="E598" s="144" t="s">
        <v>259</v>
      </c>
      <c r="F598" s="144">
        <v>0</v>
      </c>
      <c r="G598" s="144">
        <v>0</v>
      </c>
      <c r="H598" s="43">
        <f>D598+G598-F598</f>
        <v>1000000</v>
      </c>
      <c r="I598" s="48"/>
    </row>
    <row r="599" spans="1:9" x14ac:dyDescent="0.25">
      <c r="A599" s="32">
        <v>2</v>
      </c>
      <c r="B599" s="210" t="s">
        <v>723</v>
      </c>
      <c r="C599" s="211" t="s">
        <v>724</v>
      </c>
      <c r="D599" s="212">
        <v>60000000</v>
      </c>
      <c r="E599" s="144">
        <v>40444000</v>
      </c>
      <c r="F599" s="144">
        <v>0</v>
      </c>
      <c r="G599" s="144">
        <v>9000000</v>
      </c>
      <c r="H599" s="43">
        <f>D599+G599-F599</f>
        <v>69000000</v>
      </c>
      <c r="I599" s="48" t="s">
        <v>185</v>
      </c>
    </row>
    <row r="600" spans="1:9" ht="24" x14ac:dyDescent="0.25">
      <c r="A600" s="32">
        <v>3</v>
      </c>
      <c r="B600" s="210" t="s">
        <v>725</v>
      </c>
      <c r="C600" s="211" t="s">
        <v>726</v>
      </c>
      <c r="D600" s="212">
        <v>1000000</v>
      </c>
      <c r="E600" s="144" t="s">
        <v>259</v>
      </c>
      <c r="F600" s="144">
        <v>0</v>
      </c>
      <c r="G600" s="144">
        <v>0</v>
      </c>
      <c r="H600" s="43">
        <f>D600+G600-F600</f>
        <v>1000000</v>
      </c>
      <c r="I600" s="48"/>
    </row>
    <row r="601" spans="1:9" x14ac:dyDescent="0.25">
      <c r="A601" s="32">
        <v>4</v>
      </c>
      <c r="B601" s="210" t="s">
        <v>727</v>
      </c>
      <c r="C601" s="211" t="s">
        <v>728</v>
      </c>
      <c r="D601" s="212">
        <v>3000000</v>
      </c>
      <c r="E601" s="144" t="s">
        <v>259</v>
      </c>
      <c r="F601" s="144">
        <v>0</v>
      </c>
      <c r="G601" s="144">
        <v>2000000</v>
      </c>
      <c r="H601" s="43">
        <f>D601+G601-F601</f>
        <v>5000000</v>
      </c>
      <c r="I601" s="48" t="s">
        <v>185</v>
      </c>
    </row>
    <row r="602" spans="1:9" x14ac:dyDescent="0.25">
      <c r="A602" s="32">
        <v>5</v>
      </c>
      <c r="B602" s="210" t="s">
        <v>729</v>
      </c>
      <c r="C602" s="211" t="s">
        <v>730</v>
      </c>
      <c r="D602" s="212">
        <v>2000000</v>
      </c>
      <c r="E602" s="144">
        <v>1847000</v>
      </c>
      <c r="F602" s="144">
        <v>0</v>
      </c>
      <c r="G602" s="144">
        <v>0</v>
      </c>
      <c r="H602" s="43">
        <f>D602+G602-F602</f>
        <v>2000000</v>
      </c>
      <c r="I602" s="48"/>
    </row>
    <row r="603" spans="1:9" x14ac:dyDescent="0.25">
      <c r="A603" s="32"/>
      <c r="B603" s="210"/>
      <c r="C603" s="42" t="s">
        <v>38</v>
      </c>
      <c r="D603" s="145">
        <f>SUM(D598:D602)</f>
        <v>67000000</v>
      </c>
      <c r="E603" s="145">
        <f>SUM(E598:E602)</f>
        <v>42291000</v>
      </c>
      <c r="F603" s="145">
        <f>SUM(F598:F602)</f>
        <v>0</v>
      </c>
      <c r="G603" s="145">
        <f>SUM(G598:G602)</f>
        <v>11000000</v>
      </c>
      <c r="H603" s="145">
        <f>SUM(H598:H602)</f>
        <v>78000000</v>
      </c>
      <c r="I603" s="48"/>
    </row>
    <row r="622" spans="1:9" x14ac:dyDescent="0.25">
      <c r="A622" s="677" t="s">
        <v>633</v>
      </c>
      <c r="B622" s="677"/>
      <c r="C622" s="677"/>
      <c r="D622" s="677"/>
      <c r="E622" s="677"/>
      <c r="F622" s="677"/>
      <c r="G622" s="677"/>
      <c r="H622" s="677"/>
      <c r="I622" s="677"/>
    </row>
    <row r="623" spans="1:9" x14ac:dyDescent="0.25">
      <c r="A623" s="677" t="s">
        <v>1473</v>
      </c>
      <c r="B623" s="677"/>
      <c r="C623" s="677"/>
      <c r="D623" s="677"/>
      <c r="E623" s="677"/>
      <c r="F623" s="677"/>
      <c r="G623" s="677"/>
      <c r="H623" s="677"/>
      <c r="I623" s="677"/>
    </row>
    <row r="624" spans="1:9" x14ac:dyDescent="0.25">
      <c r="A624" s="677" t="s">
        <v>34</v>
      </c>
      <c r="B624" s="677"/>
      <c r="C624" s="677"/>
      <c r="D624" s="677"/>
      <c r="E624" s="677"/>
      <c r="F624" s="677"/>
      <c r="G624" s="677"/>
      <c r="H624" s="677"/>
      <c r="I624" s="677"/>
    </row>
    <row r="625" spans="1:9" x14ac:dyDescent="0.25">
      <c r="A625" s="343"/>
      <c r="B625" s="343"/>
      <c r="C625" s="343"/>
      <c r="D625" s="343"/>
      <c r="E625" s="343"/>
      <c r="F625" s="343"/>
      <c r="G625" s="343"/>
      <c r="H625" s="343"/>
    </row>
    <row r="626" spans="1:9" x14ac:dyDescent="0.25">
      <c r="A626" s="61" t="s">
        <v>1046</v>
      </c>
      <c r="B626" s="51"/>
      <c r="C626" s="51"/>
      <c r="D626" s="51"/>
      <c r="E626" s="51"/>
      <c r="F626" s="51"/>
      <c r="G626" s="51"/>
      <c r="H626" s="52"/>
    </row>
    <row r="627" spans="1:9" x14ac:dyDescent="0.25">
      <c r="A627" s="52"/>
      <c r="B627" s="343"/>
      <c r="C627" s="52"/>
      <c r="D627" s="52"/>
      <c r="E627" s="52"/>
      <c r="F627" s="52"/>
      <c r="G627" s="52"/>
      <c r="H627" s="52"/>
    </row>
    <row r="628" spans="1:9" x14ac:dyDescent="0.25">
      <c r="A628" s="53" t="s">
        <v>1047</v>
      </c>
      <c r="B628" s="53"/>
      <c r="C628" s="53"/>
      <c r="D628" s="52"/>
      <c r="E628" s="52"/>
      <c r="F628" s="52"/>
      <c r="G628" s="52"/>
      <c r="H628" s="52"/>
    </row>
    <row r="629" spans="1:9" ht="26.45" customHeight="1" x14ac:dyDescent="0.25">
      <c r="A629" s="318" t="s">
        <v>0</v>
      </c>
      <c r="B629" s="54" t="s">
        <v>35</v>
      </c>
      <c r="C629" s="54" t="s">
        <v>36</v>
      </c>
      <c r="D629" s="54" t="s">
        <v>632</v>
      </c>
      <c r="E629" s="54" t="s">
        <v>193</v>
      </c>
      <c r="F629" s="54" t="s">
        <v>222</v>
      </c>
      <c r="G629" s="54" t="s">
        <v>37</v>
      </c>
      <c r="H629" s="55" t="s">
        <v>1472</v>
      </c>
      <c r="I629" s="55" t="s">
        <v>186</v>
      </c>
    </row>
    <row r="630" spans="1:9" x14ac:dyDescent="0.25">
      <c r="A630" s="210" t="s">
        <v>143</v>
      </c>
      <c r="B630" s="210" t="s">
        <v>1015</v>
      </c>
      <c r="C630" s="211" t="s">
        <v>1016</v>
      </c>
      <c r="D630" s="212">
        <v>1000000</v>
      </c>
      <c r="E630" s="144">
        <v>0</v>
      </c>
      <c r="F630" s="144">
        <v>0</v>
      </c>
      <c r="G630" s="144">
        <v>0</v>
      </c>
      <c r="H630" s="43">
        <f t="shared" ref="H630:H646" si="18">D630+G630-F630</f>
        <v>1000000</v>
      </c>
      <c r="I630" s="30"/>
    </row>
    <row r="631" spans="1:9" x14ac:dyDescent="0.25">
      <c r="A631" s="210" t="s">
        <v>144</v>
      </c>
      <c r="B631" s="210" t="s">
        <v>1017</v>
      </c>
      <c r="C631" s="211" t="s">
        <v>228</v>
      </c>
      <c r="D631" s="212">
        <v>5000000</v>
      </c>
      <c r="E631" s="144">
        <v>0</v>
      </c>
      <c r="F631" s="144">
        <v>0</v>
      </c>
      <c r="G631" s="144">
        <v>0</v>
      </c>
      <c r="H631" s="43">
        <f t="shared" si="18"/>
        <v>5000000</v>
      </c>
      <c r="I631" s="30"/>
    </row>
    <row r="632" spans="1:9" ht="24" x14ac:dyDescent="0.25">
      <c r="A632" s="210" t="s">
        <v>145</v>
      </c>
      <c r="B632" s="210" t="s">
        <v>1018</v>
      </c>
      <c r="C632" s="211" t="s">
        <v>1019</v>
      </c>
      <c r="D632" s="212">
        <v>4000000</v>
      </c>
      <c r="E632" s="144">
        <v>0</v>
      </c>
      <c r="F632" s="144">
        <v>0</v>
      </c>
      <c r="G632" s="144">
        <v>0</v>
      </c>
      <c r="H632" s="43">
        <f t="shared" si="18"/>
        <v>4000000</v>
      </c>
      <c r="I632" s="30"/>
    </row>
    <row r="633" spans="1:9" x14ac:dyDescent="0.25">
      <c r="A633" s="210" t="s">
        <v>20</v>
      </c>
      <c r="B633" s="210" t="s">
        <v>1020</v>
      </c>
      <c r="C633" s="211" t="s">
        <v>1021</v>
      </c>
      <c r="D633" s="212">
        <v>7000000</v>
      </c>
      <c r="E633" s="144">
        <v>0</v>
      </c>
      <c r="F633" s="144">
        <v>0</v>
      </c>
      <c r="G633" s="144">
        <v>0</v>
      </c>
      <c r="H633" s="43">
        <f t="shared" si="18"/>
        <v>7000000</v>
      </c>
      <c r="I633" s="30"/>
    </row>
    <row r="634" spans="1:9" x14ac:dyDescent="0.25">
      <c r="A634" s="210" t="s">
        <v>146</v>
      </c>
      <c r="B634" s="210" t="s">
        <v>1022</v>
      </c>
      <c r="C634" s="211" t="s">
        <v>1023</v>
      </c>
      <c r="D634" s="223">
        <v>0</v>
      </c>
      <c r="E634" s="144">
        <v>0</v>
      </c>
      <c r="F634" s="144">
        <v>0</v>
      </c>
      <c r="G634" s="144">
        <v>0</v>
      </c>
      <c r="H634" s="43">
        <f t="shared" si="18"/>
        <v>0</v>
      </c>
      <c r="I634" s="30"/>
    </row>
    <row r="635" spans="1:9" ht="24" x14ac:dyDescent="0.25">
      <c r="A635" s="210" t="s">
        <v>22</v>
      </c>
      <c r="B635" s="210" t="s">
        <v>1024</v>
      </c>
      <c r="C635" s="211" t="s">
        <v>1025</v>
      </c>
      <c r="D635" s="212">
        <v>1000000</v>
      </c>
      <c r="E635" s="144">
        <v>0</v>
      </c>
      <c r="F635" s="144">
        <v>0</v>
      </c>
      <c r="G635" s="144">
        <v>0</v>
      </c>
      <c r="H635" s="43">
        <f t="shared" si="18"/>
        <v>1000000</v>
      </c>
      <c r="I635" s="30"/>
    </row>
    <row r="636" spans="1:9" x14ac:dyDescent="0.25">
      <c r="A636" s="210" t="s">
        <v>284</v>
      </c>
      <c r="B636" s="210" t="s">
        <v>1026</v>
      </c>
      <c r="C636" s="211" t="s">
        <v>1027</v>
      </c>
      <c r="D636" s="212">
        <v>1000000</v>
      </c>
      <c r="E636" s="144">
        <v>0</v>
      </c>
      <c r="F636" s="144">
        <v>0</v>
      </c>
      <c r="G636" s="144">
        <v>0</v>
      </c>
      <c r="H636" s="43">
        <f t="shared" si="18"/>
        <v>1000000</v>
      </c>
      <c r="I636" s="30"/>
    </row>
    <row r="637" spans="1:9" x14ac:dyDescent="0.25">
      <c r="A637" s="210" t="s">
        <v>30</v>
      </c>
      <c r="B637" s="210" t="s">
        <v>841</v>
      </c>
      <c r="C637" s="211" t="s">
        <v>842</v>
      </c>
      <c r="D637" s="212">
        <v>5000000</v>
      </c>
      <c r="E637" s="144">
        <v>0</v>
      </c>
      <c r="F637" s="144">
        <v>0</v>
      </c>
      <c r="G637" s="144">
        <v>0</v>
      </c>
      <c r="H637" s="43">
        <f t="shared" si="18"/>
        <v>5000000</v>
      </c>
      <c r="I637" s="30"/>
    </row>
    <row r="638" spans="1:9" x14ac:dyDescent="0.25">
      <c r="A638" s="210" t="s">
        <v>287</v>
      </c>
      <c r="B638" s="210" t="s">
        <v>1028</v>
      </c>
      <c r="C638" s="211" t="s">
        <v>1029</v>
      </c>
      <c r="D638" s="212">
        <v>1000000</v>
      </c>
      <c r="E638" s="144"/>
      <c r="F638" s="144">
        <v>0</v>
      </c>
      <c r="G638" s="144">
        <v>0</v>
      </c>
      <c r="H638" s="43">
        <f t="shared" si="18"/>
        <v>1000000</v>
      </c>
      <c r="I638" s="30"/>
    </row>
    <row r="639" spans="1:9" ht="36" x14ac:dyDescent="0.25">
      <c r="A639" s="210" t="s">
        <v>289</v>
      </c>
      <c r="B639" s="210" t="s">
        <v>1030</v>
      </c>
      <c r="C639" s="211" t="s">
        <v>1031</v>
      </c>
      <c r="D639" s="212">
        <v>3000000</v>
      </c>
      <c r="E639" s="144">
        <v>0</v>
      </c>
      <c r="F639" s="144">
        <v>0</v>
      </c>
      <c r="G639" s="144">
        <v>0</v>
      </c>
      <c r="H639" s="43">
        <f t="shared" si="18"/>
        <v>3000000</v>
      </c>
      <c r="I639" s="30"/>
    </row>
    <row r="640" spans="1:9" x14ac:dyDescent="0.25">
      <c r="A640" s="210" t="s">
        <v>290</v>
      </c>
      <c r="B640" s="210" t="s">
        <v>1032</v>
      </c>
      <c r="C640" s="211" t="s">
        <v>1033</v>
      </c>
      <c r="D640" s="212">
        <v>3000000</v>
      </c>
      <c r="E640" s="144">
        <v>0</v>
      </c>
      <c r="F640" s="144">
        <v>0</v>
      </c>
      <c r="G640" s="144">
        <v>0</v>
      </c>
      <c r="H640" s="43">
        <f t="shared" si="18"/>
        <v>3000000</v>
      </c>
      <c r="I640" s="30"/>
    </row>
    <row r="641" spans="1:9" ht="24" x14ac:dyDescent="0.25">
      <c r="A641" s="210" t="s">
        <v>292</v>
      </c>
      <c r="B641" s="210" t="s">
        <v>1034</v>
      </c>
      <c r="C641" s="211" t="s">
        <v>1035</v>
      </c>
      <c r="D641" s="212">
        <v>1000000</v>
      </c>
      <c r="E641" s="144">
        <v>0</v>
      </c>
      <c r="F641" s="144">
        <v>0</v>
      </c>
      <c r="G641" s="144">
        <v>0</v>
      </c>
      <c r="H641" s="43">
        <f t="shared" si="18"/>
        <v>1000000</v>
      </c>
      <c r="I641" s="30"/>
    </row>
    <row r="642" spans="1:9" x14ac:dyDescent="0.25">
      <c r="A642" s="210" t="s">
        <v>295</v>
      </c>
      <c r="B642" s="210" t="s">
        <v>1036</v>
      </c>
      <c r="C642" s="211" t="s">
        <v>1037</v>
      </c>
      <c r="D642" s="212">
        <v>1000000</v>
      </c>
      <c r="E642" s="144">
        <v>0</v>
      </c>
      <c r="F642" s="144">
        <v>0</v>
      </c>
      <c r="G642" s="144">
        <v>0</v>
      </c>
      <c r="H642" s="43">
        <f t="shared" si="18"/>
        <v>1000000</v>
      </c>
      <c r="I642" s="30"/>
    </row>
    <row r="643" spans="1:9" x14ac:dyDescent="0.25">
      <c r="A643" s="210" t="s">
        <v>299</v>
      </c>
      <c r="B643" s="210" t="s">
        <v>1038</v>
      </c>
      <c r="C643" s="211" t="s">
        <v>1039</v>
      </c>
      <c r="D643" s="212">
        <v>1000000</v>
      </c>
      <c r="E643" s="144">
        <v>0</v>
      </c>
      <c r="F643" s="320">
        <v>0</v>
      </c>
      <c r="G643" s="144">
        <v>0</v>
      </c>
      <c r="H643" s="43">
        <f t="shared" si="18"/>
        <v>1000000</v>
      </c>
      <c r="I643" s="48"/>
    </row>
    <row r="644" spans="1:9" x14ac:dyDescent="0.25">
      <c r="A644" s="210" t="s">
        <v>301</v>
      </c>
      <c r="B644" s="210" t="s">
        <v>1040</v>
      </c>
      <c r="C644" s="211" t="s">
        <v>1041</v>
      </c>
      <c r="D644" s="212">
        <v>3500000</v>
      </c>
      <c r="E644" s="144">
        <v>0</v>
      </c>
      <c r="F644" s="144">
        <v>0</v>
      </c>
      <c r="G644" s="144">
        <v>0</v>
      </c>
      <c r="H644" s="43">
        <f t="shared" si="18"/>
        <v>3500000</v>
      </c>
      <c r="I644" s="30"/>
    </row>
    <row r="645" spans="1:9" ht="24" x14ac:dyDescent="0.25">
      <c r="A645" s="210" t="s">
        <v>303</v>
      </c>
      <c r="B645" s="210" t="s">
        <v>1042</v>
      </c>
      <c r="C645" s="211" t="s">
        <v>1043</v>
      </c>
      <c r="D645" s="212">
        <v>4500000</v>
      </c>
      <c r="E645" s="144">
        <v>640000</v>
      </c>
      <c r="F645" s="144">
        <v>0</v>
      </c>
      <c r="G645" s="144">
        <v>0</v>
      </c>
      <c r="H645" s="43">
        <f t="shared" si="18"/>
        <v>4500000</v>
      </c>
      <c r="I645" s="48" t="s">
        <v>975</v>
      </c>
    </row>
    <row r="646" spans="1:9" x14ac:dyDescent="0.25">
      <c r="A646" s="362" t="s">
        <v>305</v>
      </c>
      <c r="B646" s="362" t="s">
        <v>1044</v>
      </c>
      <c r="C646" s="363" t="s">
        <v>1045</v>
      </c>
      <c r="D646" s="364">
        <v>3000000</v>
      </c>
      <c r="E646" s="365">
        <v>0</v>
      </c>
      <c r="F646" s="365">
        <v>0</v>
      </c>
      <c r="G646" s="365">
        <v>0</v>
      </c>
      <c r="H646" s="366">
        <f t="shared" si="18"/>
        <v>3000000</v>
      </c>
      <c r="I646" s="30"/>
    </row>
    <row r="647" spans="1:9" x14ac:dyDescent="0.25">
      <c r="A647" s="58"/>
      <c r="B647" s="59"/>
      <c r="C647" s="367" t="s">
        <v>965</v>
      </c>
      <c r="D647" s="195">
        <f>SUM(D630:D646)</f>
        <v>45000000</v>
      </c>
      <c r="E647" s="368">
        <f>SUM(E630:E646)</f>
        <v>640000</v>
      </c>
      <c r="F647" s="368">
        <f>SUM(F630:F646)</f>
        <v>0</v>
      </c>
      <c r="G647" s="368">
        <f>SUM(G630:G646)</f>
        <v>0</v>
      </c>
      <c r="H647" s="368">
        <f>SUM(H630:H646)</f>
        <v>45000000</v>
      </c>
      <c r="I647" s="58"/>
    </row>
    <row r="652" spans="1:9" x14ac:dyDescent="0.25">
      <c r="A652" s="677" t="s">
        <v>633</v>
      </c>
      <c r="B652" s="677"/>
      <c r="C652" s="677"/>
      <c r="D652" s="677"/>
      <c r="E652" s="677"/>
      <c r="F652" s="677"/>
      <c r="G652" s="677"/>
      <c r="H652" s="677"/>
      <c r="I652" s="677"/>
    </row>
    <row r="653" spans="1:9" x14ac:dyDescent="0.25">
      <c r="A653" s="677" t="s">
        <v>1473</v>
      </c>
      <c r="B653" s="677"/>
      <c r="C653" s="677"/>
      <c r="D653" s="677"/>
      <c r="E653" s="677"/>
      <c r="F653" s="677"/>
      <c r="G653" s="677"/>
      <c r="H653" s="677"/>
      <c r="I653" s="677"/>
    </row>
    <row r="654" spans="1:9" x14ac:dyDescent="0.25">
      <c r="A654" s="677" t="s">
        <v>34</v>
      </c>
      <c r="B654" s="677"/>
      <c r="C654" s="677"/>
      <c r="D654" s="677"/>
      <c r="E654" s="677"/>
      <c r="F654" s="677"/>
      <c r="G654" s="677"/>
      <c r="H654" s="677"/>
      <c r="I654" s="677"/>
    </row>
    <row r="655" spans="1:9" x14ac:dyDescent="0.25">
      <c r="A655" s="317"/>
      <c r="B655" s="317"/>
      <c r="C655" s="317"/>
      <c r="D655" s="317"/>
      <c r="E655" s="317"/>
      <c r="F655" s="317"/>
      <c r="G655" s="317"/>
      <c r="H655" s="317"/>
    </row>
    <row r="656" spans="1:9" x14ac:dyDescent="0.25">
      <c r="A656" s="61" t="s">
        <v>938</v>
      </c>
      <c r="B656" s="51"/>
      <c r="C656" s="51"/>
      <c r="D656" s="51"/>
      <c r="E656" s="51"/>
      <c r="F656" s="51"/>
      <c r="G656" s="51"/>
      <c r="H656" s="52"/>
    </row>
    <row r="657" spans="1:9" x14ac:dyDescent="0.25">
      <c r="A657" s="52"/>
      <c r="B657" s="317"/>
      <c r="C657" s="52"/>
      <c r="D657" s="52"/>
      <c r="E657" s="52"/>
      <c r="F657" s="52"/>
      <c r="G657" s="52"/>
      <c r="H657" s="52"/>
    </row>
    <row r="658" spans="1:9" x14ac:dyDescent="0.25">
      <c r="A658" s="53" t="s">
        <v>939</v>
      </c>
      <c r="B658" s="53"/>
      <c r="C658" s="53"/>
      <c r="D658" s="52"/>
      <c r="E658" s="52"/>
      <c r="F658" s="52"/>
      <c r="G658" s="52"/>
      <c r="H658" s="52"/>
    </row>
    <row r="659" spans="1:9" ht="26.45" customHeight="1" x14ac:dyDescent="0.25">
      <c r="A659" s="318" t="s">
        <v>0</v>
      </c>
      <c r="B659" s="54" t="s">
        <v>35</v>
      </c>
      <c r="C659" s="54" t="s">
        <v>36</v>
      </c>
      <c r="D659" s="54" t="s">
        <v>632</v>
      </c>
      <c r="E659" s="54" t="s">
        <v>193</v>
      </c>
      <c r="F659" s="54" t="s">
        <v>222</v>
      </c>
      <c r="G659" s="54" t="s">
        <v>37</v>
      </c>
      <c r="H659" s="55" t="s">
        <v>1472</v>
      </c>
      <c r="I659" s="55" t="s">
        <v>186</v>
      </c>
    </row>
    <row r="660" spans="1:9" x14ac:dyDescent="0.25">
      <c r="A660" s="210" t="s">
        <v>143</v>
      </c>
      <c r="B660" s="210" t="s">
        <v>910</v>
      </c>
      <c r="C660" s="211" t="s">
        <v>911</v>
      </c>
      <c r="D660" s="212">
        <v>3000000</v>
      </c>
      <c r="E660" s="144">
        <v>0</v>
      </c>
      <c r="F660" s="144">
        <v>0</v>
      </c>
      <c r="G660" s="144">
        <v>0</v>
      </c>
      <c r="H660" s="43">
        <f t="shared" ref="H660:H673" si="19">D660+G660-F660</f>
        <v>3000000</v>
      </c>
      <c r="I660" s="30"/>
    </row>
    <row r="661" spans="1:9" x14ac:dyDescent="0.25">
      <c r="A661" s="210" t="s">
        <v>144</v>
      </c>
      <c r="B661" s="210" t="s">
        <v>912</v>
      </c>
      <c r="C661" s="211" t="s">
        <v>913</v>
      </c>
      <c r="D661" s="212">
        <v>2700000</v>
      </c>
      <c r="E661" s="144">
        <v>0</v>
      </c>
      <c r="F661" s="144">
        <v>0</v>
      </c>
      <c r="G661" s="144">
        <v>0</v>
      </c>
      <c r="H661" s="43">
        <f t="shared" si="19"/>
        <v>2700000</v>
      </c>
      <c r="I661" s="30"/>
    </row>
    <row r="662" spans="1:9" x14ac:dyDescent="0.25">
      <c r="A662" s="210" t="s">
        <v>145</v>
      </c>
      <c r="B662" s="210" t="s">
        <v>914</v>
      </c>
      <c r="C662" s="211" t="s">
        <v>915</v>
      </c>
      <c r="D662" s="212">
        <v>2000000</v>
      </c>
      <c r="E662" s="144">
        <v>0</v>
      </c>
      <c r="F662" s="144">
        <v>0</v>
      </c>
      <c r="G662" s="144">
        <v>0</v>
      </c>
      <c r="H662" s="43">
        <f t="shared" si="19"/>
        <v>2000000</v>
      </c>
      <c r="I662" s="30"/>
    </row>
    <row r="663" spans="1:9" x14ac:dyDescent="0.25">
      <c r="A663" s="210" t="s">
        <v>20</v>
      </c>
      <c r="B663" s="210" t="s">
        <v>916</v>
      </c>
      <c r="C663" s="211" t="s">
        <v>917</v>
      </c>
      <c r="D663" s="212">
        <v>500000</v>
      </c>
      <c r="E663" s="144">
        <v>0</v>
      </c>
      <c r="F663" s="144">
        <v>0</v>
      </c>
      <c r="G663" s="144">
        <v>0</v>
      </c>
      <c r="H663" s="43">
        <f t="shared" si="19"/>
        <v>500000</v>
      </c>
      <c r="I663" s="30"/>
    </row>
    <row r="664" spans="1:9" x14ac:dyDescent="0.25">
      <c r="A664" s="210" t="s">
        <v>146</v>
      </c>
      <c r="B664" s="210" t="s">
        <v>918</v>
      </c>
      <c r="C664" s="211" t="s">
        <v>919</v>
      </c>
      <c r="D664" s="212">
        <v>1000000</v>
      </c>
      <c r="E664" s="144">
        <v>0</v>
      </c>
      <c r="F664" s="144">
        <v>0</v>
      </c>
      <c r="G664" s="144">
        <v>0</v>
      </c>
      <c r="H664" s="43">
        <f t="shared" si="19"/>
        <v>1000000</v>
      </c>
      <c r="I664" s="30"/>
    </row>
    <row r="665" spans="1:9" x14ac:dyDescent="0.25">
      <c r="A665" s="210" t="s">
        <v>21</v>
      </c>
      <c r="B665" s="210" t="s">
        <v>920</v>
      </c>
      <c r="C665" s="211" t="s">
        <v>921</v>
      </c>
      <c r="D665" s="212">
        <v>1500000</v>
      </c>
      <c r="E665" s="144">
        <v>0</v>
      </c>
      <c r="F665" s="144">
        <v>0</v>
      </c>
      <c r="G665" s="144">
        <v>0</v>
      </c>
      <c r="H665" s="43">
        <f t="shared" si="19"/>
        <v>1500000</v>
      </c>
      <c r="I665" s="30"/>
    </row>
    <row r="666" spans="1:9" x14ac:dyDescent="0.25">
      <c r="A666" s="210" t="s">
        <v>22</v>
      </c>
      <c r="B666" s="210" t="s">
        <v>922</v>
      </c>
      <c r="C666" s="211" t="s">
        <v>923</v>
      </c>
      <c r="D666" s="212">
        <v>1000000</v>
      </c>
      <c r="E666" s="144">
        <v>0</v>
      </c>
      <c r="F666" s="144">
        <v>0</v>
      </c>
      <c r="G666" s="144">
        <v>0</v>
      </c>
      <c r="H666" s="43">
        <f t="shared" si="19"/>
        <v>1000000</v>
      </c>
      <c r="I666" s="30"/>
    </row>
    <row r="667" spans="1:9" x14ac:dyDescent="0.25">
      <c r="A667" s="210" t="s">
        <v>284</v>
      </c>
      <c r="B667" s="210" t="s">
        <v>924</v>
      </c>
      <c r="C667" s="211" t="s">
        <v>925</v>
      </c>
      <c r="D667" s="212">
        <v>1800000</v>
      </c>
      <c r="E667" s="144">
        <v>0</v>
      </c>
      <c r="F667" s="144">
        <v>0</v>
      </c>
      <c r="G667" s="144">
        <v>0</v>
      </c>
      <c r="H667" s="43">
        <f t="shared" si="19"/>
        <v>1800000</v>
      </c>
      <c r="I667" s="30"/>
    </row>
    <row r="668" spans="1:9" ht="24" x14ac:dyDescent="0.25">
      <c r="A668" s="210" t="s">
        <v>30</v>
      </c>
      <c r="B668" s="210" t="s">
        <v>926</v>
      </c>
      <c r="C668" s="211" t="s">
        <v>927</v>
      </c>
      <c r="D668" s="212">
        <v>20000000</v>
      </c>
      <c r="E668" s="144">
        <v>5000000</v>
      </c>
      <c r="F668" s="144">
        <v>0</v>
      </c>
      <c r="G668" s="144">
        <v>0</v>
      </c>
      <c r="H668" s="43">
        <f t="shared" si="19"/>
        <v>20000000</v>
      </c>
      <c r="I668" s="30"/>
    </row>
    <row r="669" spans="1:9" x14ac:dyDescent="0.25">
      <c r="A669" s="210" t="s">
        <v>287</v>
      </c>
      <c r="B669" s="210" t="s">
        <v>928</v>
      </c>
      <c r="C669" s="211" t="s">
        <v>929</v>
      </c>
      <c r="D669" s="212">
        <v>5000000</v>
      </c>
      <c r="E669" s="144">
        <v>1380000</v>
      </c>
      <c r="F669" s="144">
        <v>0</v>
      </c>
      <c r="G669" s="144">
        <v>0</v>
      </c>
      <c r="H669" s="43">
        <f t="shared" si="19"/>
        <v>5000000</v>
      </c>
      <c r="I669" s="30"/>
    </row>
    <row r="670" spans="1:9" x14ac:dyDescent="0.25">
      <c r="A670" s="210" t="s">
        <v>289</v>
      </c>
      <c r="B670" s="210" t="s">
        <v>930</v>
      </c>
      <c r="C670" s="211" t="s">
        <v>931</v>
      </c>
      <c r="D670" s="212">
        <v>1000000</v>
      </c>
      <c r="E670" s="144">
        <v>0</v>
      </c>
      <c r="F670" s="144">
        <v>0</v>
      </c>
      <c r="G670" s="144">
        <v>0</v>
      </c>
      <c r="H670" s="43">
        <f t="shared" si="19"/>
        <v>1000000</v>
      </c>
      <c r="I670" s="30"/>
    </row>
    <row r="671" spans="1:9" x14ac:dyDescent="0.25">
      <c r="A671" s="210" t="s">
        <v>290</v>
      </c>
      <c r="B671" s="210" t="s">
        <v>932</v>
      </c>
      <c r="C671" s="211" t="s">
        <v>933</v>
      </c>
      <c r="D671" s="212">
        <v>3200000</v>
      </c>
      <c r="E671" s="43">
        <v>2267000</v>
      </c>
      <c r="F671" s="144">
        <v>0</v>
      </c>
      <c r="G671" s="144">
        <v>0</v>
      </c>
      <c r="H671" s="43">
        <f t="shared" si="19"/>
        <v>3200000</v>
      </c>
      <c r="I671" s="30"/>
    </row>
    <row r="672" spans="1:9" ht="24" x14ac:dyDescent="0.25">
      <c r="A672" s="210" t="s">
        <v>292</v>
      </c>
      <c r="B672" s="210" t="s">
        <v>934</v>
      </c>
      <c r="C672" s="211" t="s">
        <v>935</v>
      </c>
      <c r="D672" s="212">
        <v>7000000</v>
      </c>
      <c r="E672" s="144">
        <v>0</v>
      </c>
      <c r="F672" s="144">
        <v>0</v>
      </c>
      <c r="G672" s="144">
        <v>0</v>
      </c>
      <c r="H672" s="43">
        <f t="shared" si="19"/>
        <v>7000000</v>
      </c>
      <c r="I672" s="30"/>
    </row>
    <row r="673" spans="1:9" x14ac:dyDescent="0.25">
      <c r="A673" s="546" t="s">
        <v>294</v>
      </c>
      <c r="B673" s="546" t="s">
        <v>937</v>
      </c>
      <c r="C673" s="547" t="s">
        <v>936</v>
      </c>
      <c r="D673" s="548">
        <v>0</v>
      </c>
      <c r="E673" s="549">
        <v>1500000</v>
      </c>
      <c r="F673" s="549">
        <v>0</v>
      </c>
      <c r="G673" s="549">
        <v>1500000</v>
      </c>
      <c r="H673" s="550">
        <f t="shared" si="19"/>
        <v>1500000</v>
      </c>
      <c r="I673" s="48" t="s">
        <v>975</v>
      </c>
    </row>
    <row r="674" spans="1:9" x14ac:dyDescent="0.25">
      <c r="A674" s="30"/>
      <c r="B674" s="28"/>
      <c r="C674" s="42" t="s">
        <v>38</v>
      </c>
      <c r="D674" s="145">
        <f>SUM(D660:D673)</f>
        <v>49700000</v>
      </c>
      <c r="E674" s="145">
        <f>SUM(E660:E673)</f>
        <v>10147000</v>
      </c>
      <c r="F674" s="145">
        <f>SUM(F660:F673)</f>
        <v>0</v>
      </c>
      <c r="G674" s="145">
        <f>SUM(G660:G673)</f>
        <v>1500000</v>
      </c>
      <c r="H674" s="145">
        <f>SUM(H660:H673)</f>
        <v>51200000</v>
      </c>
      <c r="I674" s="30"/>
    </row>
    <row r="684" spans="1:9" x14ac:dyDescent="0.25">
      <c r="A684" s="677" t="s">
        <v>633</v>
      </c>
      <c r="B684" s="677"/>
      <c r="C684" s="677"/>
      <c r="D684" s="677"/>
      <c r="E684" s="677"/>
      <c r="F684" s="677"/>
      <c r="G684" s="677"/>
      <c r="H684" s="677"/>
      <c r="I684" s="677"/>
    </row>
    <row r="685" spans="1:9" x14ac:dyDescent="0.25">
      <c r="A685" s="677" t="s">
        <v>1473</v>
      </c>
      <c r="B685" s="677"/>
      <c r="C685" s="677"/>
      <c r="D685" s="677"/>
      <c r="E685" s="677"/>
      <c r="F685" s="677"/>
      <c r="G685" s="677"/>
      <c r="H685" s="677"/>
      <c r="I685" s="677"/>
    </row>
    <row r="686" spans="1:9" x14ac:dyDescent="0.25">
      <c r="A686" s="677" t="s">
        <v>34</v>
      </c>
      <c r="B686" s="677"/>
      <c r="C686" s="677"/>
      <c r="D686" s="677"/>
      <c r="E686" s="677"/>
      <c r="F686" s="677"/>
      <c r="G686" s="677"/>
      <c r="H686" s="677"/>
      <c r="I686" s="677"/>
    </row>
    <row r="687" spans="1:9" x14ac:dyDescent="0.25">
      <c r="A687" s="316"/>
      <c r="B687" s="316"/>
      <c r="C687" s="316"/>
      <c r="D687" s="316"/>
      <c r="E687" s="316"/>
      <c r="F687" s="316"/>
      <c r="G687" s="316"/>
      <c r="H687" s="316"/>
    </row>
    <row r="688" spans="1:9" x14ac:dyDescent="0.25">
      <c r="A688" s="61" t="s">
        <v>840</v>
      </c>
      <c r="B688" s="51"/>
      <c r="C688" s="51"/>
      <c r="D688" s="51"/>
      <c r="E688" s="51"/>
      <c r="F688" s="51"/>
      <c r="G688" s="51"/>
      <c r="H688" s="52"/>
    </row>
    <row r="689" spans="1:9" x14ac:dyDescent="0.25">
      <c r="A689" s="52"/>
      <c r="B689" s="316"/>
      <c r="C689" s="52"/>
      <c r="D689" s="52"/>
      <c r="E689" s="52"/>
      <c r="F689" s="52"/>
      <c r="G689" s="52"/>
      <c r="H689" s="52"/>
    </row>
    <row r="690" spans="1:9" x14ac:dyDescent="0.25">
      <c r="A690" s="53" t="s">
        <v>839</v>
      </c>
      <c r="B690" s="53"/>
      <c r="C690" s="53"/>
      <c r="D690" s="52"/>
      <c r="E690" s="52"/>
      <c r="F690" s="52"/>
      <c r="G690" s="52"/>
      <c r="H690" s="52"/>
    </row>
    <row r="691" spans="1:9" ht="26.45" customHeight="1" x14ac:dyDescent="0.25">
      <c r="A691" s="318" t="s">
        <v>0</v>
      </c>
      <c r="B691" s="54" t="s">
        <v>35</v>
      </c>
      <c r="C691" s="54" t="s">
        <v>36</v>
      </c>
      <c r="D691" s="54" t="s">
        <v>632</v>
      </c>
      <c r="E691" s="54" t="s">
        <v>193</v>
      </c>
      <c r="F691" s="54" t="s">
        <v>222</v>
      </c>
      <c r="G691" s="54" t="s">
        <v>37</v>
      </c>
      <c r="H691" s="55" t="s">
        <v>1472</v>
      </c>
      <c r="I691" s="54" t="s">
        <v>186</v>
      </c>
    </row>
    <row r="692" spans="1:9" x14ac:dyDescent="0.25">
      <c r="A692" s="210" t="s">
        <v>143</v>
      </c>
      <c r="B692" s="210" t="s">
        <v>841</v>
      </c>
      <c r="C692" s="211" t="s">
        <v>842</v>
      </c>
      <c r="D692" s="212">
        <v>3000000</v>
      </c>
      <c r="E692" s="144">
        <v>0</v>
      </c>
      <c r="F692" s="144">
        <v>0</v>
      </c>
      <c r="G692" s="144">
        <v>0</v>
      </c>
      <c r="H692" s="43">
        <f t="shared" ref="H692:H706" si="20">D692+G692-F692</f>
        <v>3000000</v>
      </c>
      <c r="I692" s="30"/>
    </row>
    <row r="693" spans="1:9" ht="48" x14ac:dyDescent="0.25">
      <c r="A693" s="210" t="s">
        <v>144</v>
      </c>
      <c r="B693" s="210" t="s">
        <v>843</v>
      </c>
      <c r="C693" s="211" t="s">
        <v>844</v>
      </c>
      <c r="D693" s="212">
        <v>19500000</v>
      </c>
      <c r="E693" s="144">
        <v>0</v>
      </c>
      <c r="F693" s="144">
        <v>0</v>
      </c>
      <c r="G693" s="144">
        <v>0</v>
      </c>
      <c r="H693" s="43">
        <f t="shared" si="20"/>
        <v>19500000</v>
      </c>
      <c r="I693" s="30"/>
    </row>
    <row r="694" spans="1:9" x14ac:dyDescent="0.25">
      <c r="A694" s="210" t="s">
        <v>145</v>
      </c>
      <c r="B694" s="210" t="s">
        <v>845</v>
      </c>
      <c r="C694" s="211" t="s">
        <v>846</v>
      </c>
      <c r="D694" s="212">
        <v>6000000</v>
      </c>
      <c r="E694" s="144">
        <v>0</v>
      </c>
      <c r="F694" s="144">
        <v>0</v>
      </c>
      <c r="G694" s="144">
        <v>0</v>
      </c>
      <c r="H694" s="43">
        <f t="shared" si="20"/>
        <v>6000000</v>
      </c>
      <c r="I694" s="30"/>
    </row>
    <row r="695" spans="1:9" x14ac:dyDescent="0.25">
      <c r="A695" s="210" t="s">
        <v>20</v>
      </c>
      <c r="B695" s="210" t="s">
        <v>847</v>
      </c>
      <c r="C695" s="211" t="s">
        <v>848</v>
      </c>
      <c r="D695" s="212">
        <v>2000000</v>
      </c>
      <c r="E695" s="144">
        <v>0</v>
      </c>
      <c r="F695" s="144">
        <v>0</v>
      </c>
      <c r="G695" s="144">
        <v>0</v>
      </c>
      <c r="H695" s="43">
        <f t="shared" si="20"/>
        <v>2000000</v>
      </c>
      <c r="I695" s="30"/>
    </row>
    <row r="696" spans="1:9" x14ac:dyDescent="0.25">
      <c r="A696" s="210" t="s">
        <v>146</v>
      </c>
      <c r="B696" s="210" t="s">
        <v>849</v>
      </c>
      <c r="C696" s="211" t="s">
        <v>850</v>
      </c>
      <c r="D696" s="212">
        <v>2000000</v>
      </c>
      <c r="E696" s="144">
        <v>0</v>
      </c>
      <c r="F696" s="144">
        <v>0</v>
      </c>
      <c r="G696" s="144">
        <v>0</v>
      </c>
      <c r="H696" s="43">
        <f t="shared" si="20"/>
        <v>2000000</v>
      </c>
      <c r="I696" s="30"/>
    </row>
    <row r="697" spans="1:9" ht="24" x14ac:dyDescent="0.25">
      <c r="A697" s="210" t="s">
        <v>21</v>
      </c>
      <c r="B697" s="210" t="s">
        <v>851</v>
      </c>
      <c r="C697" s="211" t="s">
        <v>852</v>
      </c>
      <c r="D697" s="212">
        <v>2000000</v>
      </c>
      <c r="E697" s="144">
        <v>0</v>
      </c>
      <c r="F697" s="144">
        <v>0</v>
      </c>
      <c r="G697" s="144">
        <v>0</v>
      </c>
      <c r="H697" s="43">
        <f t="shared" si="20"/>
        <v>2000000</v>
      </c>
      <c r="I697" s="30"/>
    </row>
    <row r="698" spans="1:9" ht="24" x14ac:dyDescent="0.25">
      <c r="A698" s="210" t="s">
        <v>22</v>
      </c>
      <c r="B698" s="210" t="s">
        <v>853</v>
      </c>
      <c r="C698" s="211" t="s">
        <v>854</v>
      </c>
      <c r="D698" s="212">
        <v>2000000</v>
      </c>
      <c r="E698" s="144">
        <v>0</v>
      </c>
      <c r="F698" s="144">
        <v>0</v>
      </c>
      <c r="G698" s="144">
        <v>0</v>
      </c>
      <c r="H698" s="43">
        <f t="shared" si="20"/>
        <v>2000000</v>
      </c>
      <c r="I698" s="30"/>
    </row>
    <row r="699" spans="1:9" ht="24" x14ac:dyDescent="0.25">
      <c r="A699" s="210" t="s">
        <v>284</v>
      </c>
      <c r="B699" s="210" t="s">
        <v>855</v>
      </c>
      <c r="C699" s="211" t="s">
        <v>856</v>
      </c>
      <c r="D699" s="212">
        <v>500000</v>
      </c>
      <c r="E699" s="144">
        <v>0</v>
      </c>
      <c r="F699" s="144">
        <v>0</v>
      </c>
      <c r="G699" s="144">
        <v>0</v>
      </c>
      <c r="H699" s="43">
        <f t="shared" si="20"/>
        <v>500000</v>
      </c>
      <c r="I699" s="30"/>
    </row>
    <row r="700" spans="1:9" ht="24" x14ac:dyDescent="0.25">
      <c r="A700" s="210" t="s">
        <v>30</v>
      </c>
      <c r="B700" s="210" t="s">
        <v>857</v>
      </c>
      <c r="C700" s="211" t="s">
        <v>858</v>
      </c>
      <c r="D700" s="212">
        <v>3000000</v>
      </c>
      <c r="E700" s="144">
        <v>0</v>
      </c>
      <c r="F700" s="144">
        <v>0</v>
      </c>
      <c r="G700" s="144">
        <v>0</v>
      </c>
      <c r="H700" s="43">
        <f t="shared" si="20"/>
        <v>3000000</v>
      </c>
      <c r="I700" s="30"/>
    </row>
    <row r="701" spans="1:9" ht="24" x14ac:dyDescent="0.25">
      <c r="A701" s="210" t="s">
        <v>287</v>
      </c>
      <c r="B701" s="210" t="s">
        <v>859</v>
      </c>
      <c r="C701" s="211" t="s">
        <v>860</v>
      </c>
      <c r="D701" s="212">
        <v>2200000</v>
      </c>
      <c r="E701" s="144">
        <v>0</v>
      </c>
      <c r="F701" s="144">
        <v>0</v>
      </c>
      <c r="G701" s="144">
        <v>0</v>
      </c>
      <c r="H701" s="43">
        <f t="shared" si="20"/>
        <v>2200000</v>
      </c>
      <c r="I701" s="30"/>
    </row>
    <row r="702" spans="1:9" ht="36" x14ac:dyDescent="0.25">
      <c r="A702" s="210" t="s">
        <v>289</v>
      </c>
      <c r="B702" s="210" t="s">
        <v>861</v>
      </c>
      <c r="C702" s="211" t="s">
        <v>862</v>
      </c>
      <c r="D702" s="212">
        <v>2000000</v>
      </c>
      <c r="E702" s="144">
        <v>0</v>
      </c>
      <c r="F702" s="144">
        <v>0</v>
      </c>
      <c r="G702" s="144">
        <v>0</v>
      </c>
      <c r="H702" s="43">
        <f t="shared" si="20"/>
        <v>2000000</v>
      </c>
      <c r="I702" s="30"/>
    </row>
    <row r="703" spans="1:9" ht="24" x14ac:dyDescent="0.25">
      <c r="A703" s="210" t="s">
        <v>290</v>
      </c>
      <c r="B703" s="210" t="s">
        <v>863</v>
      </c>
      <c r="C703" s="211" t="s">
        <v>864</v>
      </c>
      <c r="D703" s="212">
        <v>8000000</v>
      </c>
      <c r="E703" s="43">
        <f>3600000+4920000</f>
        <v>8520000</v>
      </c>
      <c r="F703" s="144">
        <v>0</v>
      </c>
      <c r="G703" s="144">
        <v>3600000</v>
      </c>
      <c r="H703" s="43">
        <f t="shared" si="20"/>
        <v>11600000</v>
      </c>
      <c r="I703" s="48" t="s">
        <v>975</v>
      </c>
    </row>
    <row r="704" spans="1:9" ht="36" x14ac:dyDescent="0.25">
      <c r="A704" s="210" t="s">
        <v>292</v>
      </c>
      <c r="B704" s="210" t="s">
        <v>865</v>
      </c>
      <c r="C704" s="211" t="s">
        <v>866</v>
      </c>
      <c r="D704" s="212">
        <v>3000000</v>
      </c>
      <c r="E704" s="144">
        <v>0</v>
      </c>
      <c r="F704" s="144">
        <v>0</v>
      </c>
      <c r="G704" s="144">
        <v>0</v>
      </c>
      <c r="H704" s="43">
        <f t="shared" si="20"/>
        <v>3000000</v>
      </c>
      <c r="I704" s="30"/>
    </row>
    <row r="705" spans="1:9" x14ac:dyDescent="0.25">
      <c r="A705" s="210" t="s">
        <v>294</v>
      </c>
      <c r="B705" s="210" t="s">
        <v>867</v>
      </c>
      <c r="C705" s="211" t="s">
        <v>868</v>
      </c>
      <c r="D705" s="212">
        <v>6000000</v>
      </c>
      <c r="E705" s="144">
        <v>0</v>
      </c>
      <c r="F705" s="144">
        <v>0</v>
      </c>
      <c r="G705" s="144">
        <v>0</v>
      </c>
      <c r="H705" s="43">
        <f t="shared" si="20"/>
        <v>6000000</v>
      </c>
      <c r="I705" s="30"/>
    </row>
    <row r="706" spans="1:9" ht="24" x14ac:dyDescent="0.25">
      <c r="A706" s="546" t="s">
        <v>295</v>
      </c>
      <c r="B706" s="546" t="s">
        <v>880</v>
      </c>
      <c r="C706" s="547" t="s">
        <v>881</v>
      </c>
      <c r="D706" s="548">
        <v>0</v>
      </c>
      <c r="E706" s="549">
        <v>4250000</v>
      </c>
      <c r="F706" s="549">
        <v>0</v>
      </c>
      <c r="G706" s="549">
        <v>4250000</v>
      </c>
      <c r="H706" s="550">
        <f t="shared" si="20"/>
        <v>4250000</v>
      </c>
      <c r="I706" s="48" t="s">
        <v>185</v>
      </c>
    </row>
    <row r="707" spans="1:9" ht="26.45" customHeight="1" x14ac:dyDescent="0.25">
      <c r="A707" s="318" t="s">
        <v>0</v>
      </c>
      <c r="B707" s="54" t="s">
        <v>35</v>
      </c>
      <c r="C707" s="54" t="s">
        <v>36</v>
      </c>
      <c r="D707" s="54" t="s">
        <v>632</v>
      </c>
      <c r="E707" s="54" t="s">
        <v>193</v>
      </c>
      <c r="F707" s="54" t="s">
        <v>222</v>
      </c>
      <c r="G707" s="54" t="s">
        <v>37</v>
      </c>
      <c r="H707" s="55" t="s">
        <v>1472</v>
      </c>
      <c r="I707" s="54" t="s">
        <v>186</v>
      </c>
    </row>
    <row r="708" spans="1:9" ht="24" x14ac:dyDescent="0.25">
      <c r="A708" s="210" t="s">
        <v>295</v>
      </c>
      <c r="B708" s="210" t="s">
        <v>869</v>
      </c>
      <c r="C708" s="211" t="s">
        <v>870</v>
      </c>
      <c r="D708" s="212">
        <v>12000000</v>
      </c>
      <c r="E708" s="144">
        <v>0</v>
      </c>
      <c r="F708" s="144">
        <v>0</v>
      </c>
      <c r="G708" s="144">
        <v>0</v>
      </c>
      <c r="H708" s="43">
        <f t="shared" ref="H708:H713" si="21">D708+G708-F708</f>
        <v>12000000</v>
      </c>
      <c r="I708" s="30"/>
    </row>
    <row r="709" spans="1:9" ht="24" x14ac:dyDescent="0.25">
      <c r="A709" s="210" t="s">
        <v>297</v>
      </c>
      <c r="B709" s="210" t="s">
        <v>871</v>
      </c>
      <c r="C709" s="211" t="s">
        <v>872</v>
      </c>
      <c r="D709" s="212">
        <v>1500000</v>
      </c>
      <c r="E709" s="144">
        <v>0</v>
      </c>
      <c r="F709" s="144">
        <v>0</v>
      </c>
      <c r="G709" s="144">
        <v>0</v>
      </c>
      <c r="H709" s="43">
        <f t="shared" si="21"/>
        <v>1500000</v>
      </c>
      <c r="I709" s="30"/>
    </row>
    <row r="710" spans="1:9" ht="24" x14ac:dyDescent="0.25">
      <c r="A710" s="210" t="s">
        <v>305</v>
      </c>
      <c r="B710" s="210" t="s">
        <v>873</v>
      </c>
      <c r="C710" s="211" t="s">
        <v>874</v>
      </c>
      <c r="D710" s="212">
        <v>500000</v>
      </c>
      <c r="E710" s="144">
        <v>0</v>
      </c>
      <c r="F710" s="144">
        <v>0</v>
      </c>
      <c r="G710" s="144">
        <v>0</v>
      </c>
      <c r="H710" s="43">
        <f t="shared" si="21"/>
        <v>500000</v>
      </c>
      <c r="I710" s="30"/>
    </row>
    <row r="711" spans="1:9" ht="24" x14ac:dyDescent="0.25">
      <c r="A711" s="210" t="s">
        <v>518</v>
      </c>
      <c r="B711" s="210" t="s">
        <v>875</v>
      </c>
      <c r="C711" s="211" t="s">
        <v>876</v>
      </c>
      <c r="D711" s="212">
        <v>2800000</v>
      </c>
      <c r="E711" s="144">
        <v>0</v>
      </c>
      <c r="F711" s="144">
        <v>0</v>
      </c>
      <c r="G711" s="144">
        <v>0</v>
      </c>
      <c r="H711" s="43">
        <f t="shared" si="21"/>
        <v>2800000</v>
      </c>
      <c r="I711" s="30"/>
    </row>
    <row r="712" spans="1:9" x14ac:dyDescent="0.25">
      <c r="A712" s="210" t="s">
        <v>306</v>
      </c>
      <c r="B712" s="210" t="s">
        <v>877</v>
      </c>
      <c r="C712" s="211" t="s">
        <v>549</v>
      </c>
      <c r="D712" s="212">
        <v>195000000</v>
      </c>
      <c r="E712" s="144">
        <v>0</v>
      </c>
      <c r="F712" s="144">
        <v>0</v>
      </c>
      <c r="G712" s="144">
        <v>0</v>
      </c>
      <c r="H712" s="43">
        <f t="shared" si="21"/>
        <v>195000000</v>
      </c>
      <c r="I712" s="30"/>
    </row>
    <row r="713" spans="1:9" ht="24" x14ac:dyDescent="0.25">
      <c r="A713" s="210" t="s">
        <v>310</v>
      </c>
      <c r="B713" s="210" t="s">
        <v>878</v>
      </c>
      <c r="C713" s="211" t="s">
        <v>879</v>
      </c>
      <c r="D713" s="212">
        <v>17000000</v>
      </c>
      <c r="E713" s="144">
        <f>7439306.36+4250000</f>
        <v>11689306.359999999</v>
      </c>
      <c r="F713" s="144">
        <v>0</v>
      </c>
      <c r="G713" s="144">
        <v>3000000</v>
      </c>
      <c r="H713" s="43">
        <f t="shared" si="21"/>
        <v>20000000</v>
      </c>
      <c r="I713" s="48" t="s">
        <v>975</v>
      </c>
    </row>
    <row r="714" spans="1:9" x14ac:dyDescent="0.25">
      <c r="A714" s="30"/>
      <c r="B714" s="28"/>
      <c r="C714" s="42" t="s">
        <v>38</v>
      </c>
      <c r="D714" s="319">
        <f>SUM(D692:D713)</f>
        <v>290000000</v>
      </c>
      <c r="E714" s="319">
        <f>SUM(E692:E713)</f>
        <v>24459306.359999999</v>
      </c>
      <c r="F714" s="319">
        <f>SUM(F692:F713)</f>
        <v>0</v>
      </c>
      <c r="G714" s="319">
        <f>SUM(G692:G713)</f>
        <v>10850000</v>
      </c>
      <c r="H714" s="319">
        <f>SUM(H692:H713)</f>
        <v>300850000</v>
      </c>
      <c r="I714" s="30"/>
    </row>
    <row r="737" spans="1:9" x14ac:dyDescent="0.25">
      <c r="A737" s="677" t="s">
        <v>633</v>
      </c>
      <c r="B737" s="677"/>
      <c r="C737" s="677"/>
      <c r="D737" s="677"/>
      <c r="E737" s="677"/>
      <c r="F737" s="677"/>
      <c r="G737" s="677"/>
      <c r="H737" s="677"/>
      <c r="I737" s="677"/>
    </row>
    <row r="738" spans="1:9" x14ac:dyDescent="0.25">
      <c r="A738" s="677" t="s">
        <v>1473</v>
      </c>
      <c r="B738" s="677"/>
      <c r="C738" s="677"/>
      <c r="D738" s="677"/>
      <c r="E738" s="677"/>
      <c r="F738" s="677"/>
      <c r="G738" s="677"/>
      <c r="H738" s="677"/>
      <c r="I738" s="677"/>
    </row>
    <row r="739" spans="1:9" x14ac:dyDescent="0.25">
      <c r="A739" s="677" t="s">
        <v>34</v>
      </c>
      <c r="B739" s="677"/>
      <c r="C739" s="677"/>
      <c r="D739" s="677"/>
      <c r="E739" s="677"/>
      <c r="F739" s="677"/>
      <c r="G739" s="677"/>
      <c r="H739" s="677"/>
      <c r="I739" s="677"/>
    </row>
    <row r="740" spans="1:9" x14ac:dyDescent="0.25">
      <c r="A740" s="207"/>
      <c r="B740" s="207"/>
      <c r="C740" s="207"/>
      <c r="D740" s="207"/>
      <c r="E740" s="207"/>
      <c r="F740" s="207"/>
      <c r="G740" s="207"/>
      <c r="H740" s="207"/>
    </row>
    <row r="741" spans="1:9" x14ac:dyDescent="0.25">
      <c r="A741" s="61" t="s">
        <v>555</v>
      </c>
      <c r="B741" s="51"/>
      <c r="C741" s="51"/>
      <c r="D741" s="51"/>
      <c r="E741" s="51"/>
      <c r="F741" s="51"/>
      <c r="G741" s="51"/>
      <c r="H741" s="52"/>
    </row>
    <row r="742" spans="1:9" x14ac:dyDescent="0.25">
      <c r="A742" s="52"/>
      <c r="B742" s="172"/>
      <c r="C742" s="52"/>
      <c r="D742" s="52"/>
      <c r="E742" s="52"/>
      <c r="F742" s="52"/>
      <c r="G742" s="52"/>
      <c r="H742" s="52"/>
    </row>
    <row r="743" spans="1:9" x14ac:dyDescent="0.25">
      <c r="A743" s="53" t="s">
        <v>556</v>
      </c>
      <c r="B743" s="53"/>
      <c r="C743" s="53"/>
      <c r="D743" s="52"/>
      <c r="E743" s="52"/>
      <c r="F743" s="52"/>
      <c r="G743" s="52"/>
      <c r="H743" s="52"/>
    </row>
    <row r="744" spans="1:9" ht="26.45" customHeight="1" x14ac:dyDescent="0.25">
      <c r="A744" s="41" t="s">
        <v>0</v>
      </c>
      <c r="B744" s="54" t="s">
        <v>35</v>
      </c>
      <c r="C744" s="54" t="s">
        <v>36</v>
      </c>
      <c r="D744" s="54" t="s">
        <v>632</v>
      </c>
      <c r="E744" s="54" t="s">
        <v>193</v>
      </c>
      <c r="F744" s="54" t="s">
        <v>222</v>
      </c>
      <c r="G744" s="55" t="s">
        <v>37</v>
      </c>
      <c r="H744" s="55" t="s">
        <v>1472</v>
      </c>
      <c r="I744" s="55" t="s">
        <v>186</v>
      </c>
    </row>
    <row r="745" spans="1:9" x14ac:dyDescent="0.25">
      <c r="A745" s="32">
        <v>1</v>
      </c>
      <c r="B745" s="210" t="s">
        <v>557</v>
      </c>
      <c r="C745" s="211" t="s">
        <v>229</v>
      </c>
      <c r="D745" s="212">
        <v>2000000</v>
      </c>
      <c r="E745" s="144" t="s">
        <v>259</v>
      </c>
      <c r="F745" s="144">
        <v>0</v>
      </c>
      <c r="G745" s="144">
        <v>0</v>
      </c>
      <c r="H745" s="43">
        <f>D745+G745-F745</f>
        <v>2000000</v>
      </c>
      <c r="I745" s="48"/>
    </row>
    <row r="746" spans="1:9" x14ac:dyDescent="0.25">
      <c r="A746" s="32">
        <v>2</v>
      </c>
      <c r="B746" s="210" t="s">
        <v>558</v>
      </c>
      <c r="C746" s="211" t="s">
        <v>559</v>
      </c>
      <c r="D746" s="212">
        <v>43236000</v>
      </c>
      <c r="E746" s="144" t="s">
        <v>259</v>
      </c>
      <c r="F746" s="144">
        <v>0</v>
      </c>
      <c r="G746" s="144">
        <v>0</v>
      </c>
      <c r="H746" s="43">
        <f t="shared" ref="H746:H752" si="22">D746+G746</f>
        <v>43236000</v>
      </c>
      <c r="I746" s="48"/>
    </row>
    <row r="747" spans="1:9" x14ac:dyDescent="0.25">
      <c r="A747" s="32">
        <v>3</v>
      </c>
      <c r="B747" s="210" t="s">
        <v>560</v>
      </c>
      <c r="C747" s="211" t="s">
        <v>561</v>
      </c>
      <c r="D747" s="212">
        <v>140000000</v>
      </c>
      <c r="E747" s="144" t="s">
        <v>259</v>
      </c>
      <c r="F747" s="144">
        <v>0</v>
      </c>
      <c r="G747" s="144">
        <v>0</v>
      </c>
      <c r="H747" s="43">
        <f t="shared" si="22"/>
        <v>140000000</v>
      </c>
      <c r="I747" s="48"/>
    </row>
    <row r="748" spans="1:9" x14ac:dyDescent="0.25">
      <c r="A748" s="32">
        <v>4</v>
      </c>
      <c r="B748" s="210" t="s">
        <v>562</v>
      </c>
      <c r="C748" s="211" t="s">
        <v>563</v>
      </c>
      <c r="D748" s="212">
        <v>70000000</v>
      </c>
      <c r="E748" s="144">
        <f>70000000+3535000</f>
        <v>73535000</v>
      </c>
      <c r="F748" s="144">
        <v>0</v>
      </c>
      <c r="G748" s="144">
        <v>3535000</v>
      </c>
      <c r="H748" s="43">
        <f t="shared" si="22"/>
        <v>73535000</v>
      </c>
      <c r="I748" s="48" t="s">
        <v>975</v>
      </c>
    </row>
    <row r="749" spans="1:9" ht="24" x14ac:dyDescent="0.25">
      <c r="A749" s="32">
        <v>5</v>
      </c>
      <c r="B749" s="210" t="s">
        <v>564</v>
      </c>
      <c r="C749" s="211" t="s">
        <v>565</v>
      </c>
      <c r="D749" s="212">
        <v>6000000</v>
      </c>
      <c r="E749" s="144" t="s">
        <v>259</v>
      </c>
      <c r="F749" s="144">
        <v>0</v>
      </c>
      <c r="G749" s="144">
        <v>0</v>
      </c>
      <c r="H749" s="43">
        <f t="shared" si="22"/>
        <v>6000000</v>
      </c>
      <c r="I749" s="48"/>
    </row>
    <row r="750" spans="1:9" x14ac:dyDescent="0.25">
      <c r="A750" s="32">
        <v>6</v>
      </c>
      <c r="B750" s="210" t="s">
        <v>566</v>
      </c>
      <c r="C750" s="211" t="s">
        <v>567</v>
      </c>
      <c r="D750" s="212">
        <v>5000000</v>
      </c>
      <c r="E750" s="144" t="s">
        <v>259</v>
      </c>
      <c r="F750" s="144">
        <v>0</v>
      </c>
      <c r="G750" s="144">
        <v>0</v>
      </c>
      <c r="H750" s="43">
        <f t="shared" si="22"/>
        <v>5000000</v>
      </c>
      <c r="I750" s="48"/>
    </row>
    <row r="751" spans="1:9" x14ac:dyDescent="0.25">
      <c r="A751" s="32">
        <v>7</v>
      </c>
      <c r="B751" s="210" t="s">
        <v>568</v>
      </c>
      <c r="C751" s="211" t="s">
        <v>569</v>
      </c>
      <c r="D751" s="212">
        <v>4000000</v>
      </c>
      <c r="E751" s="144" t="s">
        <v>259</v>
      </c>
      <c r="F751" s="144">
        <v>0</v>
      </c>
      <c r="G751" s="144">
        <v>0</v>
      </c>
      <c r="H751" s="43">
        <f t="shared" si="22"/>
        <v>4000000</v>
      </c>
      <c r="I751" s="48"/>
    </row>
    <row r="752" spans="1:9" ht="24" x14ac:dyDescent="0.25">
      <c r="A752" s="32">
        <v>8</v>
      </c>
      <c r="B752" s="210" t="s">
        <v>570</v>
      </c>
      <c r="C752" s="211" t="s">
        <v>571</v>
      </c>
      <c r="D752" s="212">
        <v>40000000</v>
      </c>
      <c r="E752" s="213">
        <f>40000000+1715000</f>
        <v>41715000</v>
      </c>
      <c r="F752" s="144">
        <v>0</v>
      </c>
      <c r="G752" s="144">
        <v>1715000</v>
      </c>
      <c r="H752" s="43">
        <f t="shared" si="22"/>
        <v>41715000</v>
      </c>
      <c r="I752" s="48" t="s">
        <v>975</v>
      </c>
    </row>
    <row r="753" spans="1:9" x14ac:dyDescent="0.25">
      <c r="A753" s="32">
        <v>9</v>
      </c>
      <c r="B753" s="210" t="s">
        <v>572</v>
      </c>
      <c r="C753" s="211" t="s">
        <v>573</v>
      </c>
      <c r="D753" s="212">
        <v>3000000</v>
      </c>
      <c r="E753" s="144">
        <v>0</v>
      </c>
      <c r="F753" s="144">
        <v>0</v>
      </c>
      <c r="G753" s="144">
        <v>0</v>
      </c>
      <c r="H753" s="43">
        <f>D753+G753-F753</f>
        <v>3000000</v>
      </c>
      <c r="I753" s="48"/>
    </row>
    <row r="754" spans="1:9" ht="24" x14ac:dyDescent="0.25">
      <c r="A754" s="32">
        <v>10</v>
      </c>
      <c r="B754" s="210" t="s">
        <v>574</v>
      </c>
      <c r="C754" s="211" t="s">
        <v>575</v>
      </c>
      <c r="D754" s="212">
        <v>5000000</v>
      </c>
      <c r="E754" s="144">
        <v>0</v>
      </c>
      <c r="F754" s="144">
        <v>0</v>
      </c>
      <c r="G754" s="144">
        <v>0</v>
      </c>
      <c r="H754" s="43">
        <f t="shared" ref="H754:H763" si="23">D754+G754</f>
        <v>5000000</v>
      </c>
      <c r="I754" s="48"/>
    </row>
    <row r="755" spans="1:9" x14ac:dyDescent="0.25">
      <c r="A755" s="32">
        <v>11</v>
      </c>
      <c r="B755" s="210" t="s">
        <v>576</v>
      </c>
      <c r="C755" s="211" t="s">
        <v>577</v>
      </c>
      <c r="D755" s="212">
        <v>7000000</v>
      </c>
      <c r="E755" s="144">
        <v>0</v>
      </c>
      <c r="F755" s="144">
        <v>0</v>
      </c>
      <c r="G755" s="144">
        <v>0</v>
      </c>
      <c r="H755" s="43">
        <f t="shared" si="23"/>
        <v>7000000</v>
      </c>
      <c r="I755" s="48"/>
    </row>
    <row r="756" spans="1:9" ht="36" x14ac:dyDescent="0.25">
      <c r="A756" s="32">
        <v>12</v>
      </c>
      <c r="B756" s="210" t="s">
        <v>578</v>
      </c>
      <c r="C756" s="211" t="s">
        <v>579</v>
      </c>
      <c r="D756" s="212">
        <v>3000000</v>
      </c>
      <c r="E756" s="144">
        <v>0</v>
      </c>
      <c r="F756" s="144">
        <v>0</v>
      </c>
      <c r="G756" s="144">
        <v>0</v>
      </c>
      <c r="H756" s="43">
        <f t="shared" si="23"/>
        <v>3000000</v>
      </c>
      <c r="I756" s="48"/>
    </row>
    <row r="757" spans="1:9" ht="24" x14ac:dyDescent="0.25">
      <c r="A757" s="32">
        <v>13</v>
      </c>
      <c r="B757" s="210" t="s">
        <v>580</v>
      </c>
      <c r="C757" s="211" t="s">
        <v>581</v>
      </c>
      <c r="D757" s="212">
        <v>1605000</v>
      </c>
      <c r="E757" s="144">
        <v>0</v>
      </c>
      <c r="F757" s="144">
        <v>0</v>
      </c>
      <c r="G757" s="144">
        <v>0</v>
      </c>
      <c r="H757" s="43">
        <f t="shared" si="23"/>
        <v>1605000</v>
      </c>
      <c r="I757" s="48"/>
    </row>
    <row r="758" spans="1:9" ht="24" x14ac:dyDescent="0.25">
      <c r="A758" s="32">
        <v>14</v>
      </c>
      <c r="B758" s="210" t="s">
        <v>582</v>
      </c>
      <c r="C758" s="211" t="s">
        <v>583</v>
      </c>
      <c r="D758" s="212">
        <v>1000000</v>
      </c>
      <c r="E758" s="144">
        <v>0</v>
      </c>
      <c r="F758" s="144">
        <v>0</v>
      </c>
      <c r="G758" s="144">
        <v>0</v>
      </c>
      <c r="H758" s="43">
        <f t="shared" si="23"/>
        <v>1000000</v>
      </c>
      <c r="I758" s="48"/>
    </row>
    <row r="759" spans="1:9" ht="24" x14ac:dyDescent="0.25">
      <c r="A759" s="32">
        <v>15</v>
      </c>
      <c r="B759" s="210" t="s">
        <v>584</v>
      </c>
      <c r="C759" s="211" t="s">
        <v>585</v>
      </c>
      <c r="D759" s="212">
        <v>1000000</v>
      </c>
      <c r="E759" s="144">
        <v>0</v>
      </c>
      <c r="F759" s="144">
        <v>0</v>
      </c>
      <c r="G759" s="144">
        <v>0</v>
      </c>
      <c r="H759" s="43">
        <f t="shared" si="23"/>
        <v>1000000</v>
      </c>
      <c r="I759" s="48"/>
    </row>
    <row r="760" spans="1:9" ht="24" x14ac:dyDescent="0.25">
      <c r="A760" s="32">
        <v>16</v>
      </c>
      <c r="B760" s="210" t="s">
        <v>586</v>
      </c>
      <c r="C760" s="211" t="s">
        <v>587</v>
      </c>
      <c r="D760" s="212">
        <v>8000000</v>
      </c>
      <c r="E760" s="144">
        <v>0</v>
      </c>
      <c r="F760" s="144">
        <v>0</v>
      </c>
      <c r="G760" s="144">
        <v>0</v>
      </c>
      <c r="H760" s="43">
        <f t="shared" si="23"/>
        <v>8000000</v>
      </c>
      <c r="I760" s="48"/>
    </row>
    <row r="761" spans="1:9" x14ac:dyDescent="0.25">
      <c r="A761" s="32">
        <v>17</v>
      </c>
      <c r="B761" s="210" t="s">
        <v>588</v>
      </c>
      <c r="C761" s="211" t="s">
        <v>589</v>
      </c>
      <c r="D761" s="212">
        <v>3000000</v>
      </c>
      <c r="E761" s="144">
        <v>0</v>
      </c>
      <c r="F761" s="144">
        <v>0</v>
      </c>
      <c r="G761" s="144">
        <v>0</v>
      </c>
      <c r="H761" s="43">
        <f t="shared" si="23"/>
        <v>3000000</v>
      </c>
      <c r="I761" s="30"/>
    </row>
    <row r="762" spans="1:9" ht="24" x14ac:dyDescent="0.25">
      <c r="A762" s="32">
        <v>18</v>
      </c>
      <c r="B762" s="210" t="s">
        <v>590</v>
      </c>
      <c r="C762" s="211" t="s">
        <v>591</v>
      </c>
      <c r="D762" s="212">
        <v>1159000</v>
      </c>
      <c r="E762" s="144">
        <v>0</v>
      </c>
      <c r="F762" s="144">
        <v>0</v>
      </c>
      <c r="G762" s="144">
        <v>0</v>
      </c>
      <c r="H762" s="43">
        <f t="shared" si="23"/>
        <v>1159000</v>
      </c>
      <c r="I762" s="30"/>
    </row>
    <row r="763" spans="1:9" x14ac:dyDescent="0.25">
      <c r="A763" s="32">
        <v>19</v>
      </c>
      <c r="B763" s="210" t="s">
        <v>592</v>
      </c>
      <c r="C763" s="211" t="s">
        <v>593</v>
      </c>
      <c r="D763" s="212">
        <v>3000000</v>
      </c>
      <c r="E763" s="144">
        <v>0</v>
      </c>
      <c r="F763" s="144">
        <v>0</v>
      </c>
      <c r="G763" s="144">
        <v>0</v>
      </c>
      <c r="H763" s="43">
        <f t="shared" si="23"/>
        <v>3000000</v>
      </c>
      <c r="I763" s="30"/>
    </row>
    <row r="764" spans="1:9" ht="26.45" customHeight="1" x14ac:dyDescent="0.25">
      <c r="A764" s="41" t="s">
        <v>0</v>
      </c>
      <c r="B764" s="54" t="s">
        <v>35</v>
      </c>
      <c r="C764" s="54" t="s">
        <v>36</v>
      </c>
      <c r="D764" s="54" t="s">
        <v>632</v>
      </c>
      <c r="E764" s="54" t="s">
        <v>193</v>
      </c>
      <c r="F764" s="54" t="s">
        <v>222</v>
      </c>
      <c r="G764" s="55" t="s">
        <v>37</v>
      </c>
      <c r="H764" s="55" t="s">
        <v>1472</v>
      </c>
      <c r="I764" s="55" t="s">
        <v>186</v>
      </c>
    </row>
    <row r="765" spans="1:9" ht="24" x14ac:dyDescent="0.25">
      <c r="A765" s="32">
        <v>20</v>
      </c>
      <c r="B765" s="210" t="s">
        <v>594</v>
      </c>
      <c r="C765" s="211" t="s">
        <v>595</v>
      </c>
      <c r="D765" s="212">
        <v>1000000</v>
      </c>
      <c r="E765" s="144">
        <v>0</v>
      </c>
      <c r="F765" s="144">
        <v>0</v>
      </c>
      <c r="G765" s="144">
        <v>0</v>
      </c>
      <c r="H765" s="43">
        <f>D765+G765</f>
        <v>1000000</v>
      </c>
      <c r="I765" s="30"/>
    </row>
    <row r="766" spans="1:9" x14ac:dyDescent="0.25">
      <c r="A766" s="32">
        <v>21</v>
      </c>
      <c r="B766" s="210" t="s">
        <v>711</v>
      </c>
      <c r="C766" s="211" t="s">
        <v>712</v>
      </c>
      <c r="D766" s="223">
        <v>0</v>
      </c>
      <c r="E766" s="144">
        <v>0</v>
      </c>
      <c r="F766" s="144">
        <v>0</v>
      </c>
      <c r="G766" s="144">
        <v>0</v>
      </c>
      <c r="H766" s="43">
        <f>D766+G766</f>
        <v>0</v>
      </c>
      <c r="I766" s="48"/>
    </row>
    <row r="767" spans="1:9" x14ac:dyDescent="0.25">
      <c r="A767" s="32">
        <v>22</v>
      </c>
      <c r="B767" s="210" t="s">
        <v>596</v>
      </c>
      <c r="C767" s="211" t="s">
        <v>597</v>
      </c>
      <c r="D767" s="212">
        <v>2000000</v>
      </c>
      <c r="E767" s="144">
        <v>0</v>
      </c>
      <c r="F767" s="144">
        <v>0</v>
      </c>
      <c r="G767" s="144">
        <v>0</v>
      </c>
      <c r="H767" s="43">
        <f>D767+G767</f>
        <v>2000000</v>
      </c>
      <c r="I767" s="30"/>
    </row>
    <row r="768" spans="1:9" x14ac:dyDescent="0.25">
      <c r="A768" s="30"/>
      <c r="B768" s="28"/>
      <c r="C768" s="42" t="s">
        <v>38</v>
      </c>
      <c r="D768" s="145">
        <f>SUM(D745:D767)</f>
        <v>350000000</v>
      </c>
      <c r="E768" s="145">
        <f>SUM(E745:E767)</f>
        <v>115250000</v>
      </c>
      <c r="F768" s="145">
        <f>SUM(F745:F767)</f>
        <v>0</v>
      </c>
      <c r="G768" s="145">
        <f>SUM(G745:G767)</f>
        <v>5250000</v>
      </c>
      <c r="H768" s="145">
        <f>SUM(H745:H767)</f>
        <v>355250000</v>
      </c>
      <c r="I768" s="30"/>
    </row>
    <row r="797" spans="1:9" x14ac:dyDescent="0.25">
      <c r="A797" s="677" t="s">
        <v>633</v>
      </c>
      <c r="B797" s="677"/>
      <c r="C797" s="677"/>
      <c r="D797" s="677"/>
      <c r="E797" s="677"/>
      <c r="F797" s="677"/>
      <c r="G797" s="677"/>
      <c r="H797" s="677"/>
      <c r="I797" s="677"/>
    </row>
    <row r="798" spans="1:9" x14ac:dyDescent="0.25">
      <c r="A798" s="677" t="s">
        <v>1473</v>
      </c>
      <c r="B798" s="677"/>
      <c r="C798" s="677"/>
      <c r="D798" s="677"/>
      <c r="E798" s="677"/>
      <c r="F798" s="677"/>
      <c r="G798" s="677"/>
      <c r="H798" s="677"/>
      <c r="I798" s="677"/>
    </row>
    <row r="799" spans="1:9" x14ac:dyDescent="0.25">
      <c r="A799" s="677" t="s">
        <v>34</v>
      </c>
      <c r="B799" s="677"/>
      <c r="C799" s="677"/>
      <c r="D799" s="677"/>
      <c r="E799" s="677"/>
      <c r="F799" s="677"/>
      <c r="G799" s="677"/>
      <c r="H799" s="677"/>
      <c r="I799" s="677"/>
    </row>
    <row r="800" spans="1:9" x14ac:dyDescent="0.25">
      <c r="A800" s="248"/>
      <c r="B800" s="248"/>
      <c r="C800" s="248"/>
      <c r="D800" s="248"/>
      <c r="E800" s="248"/>
      <c r="F800" s="248"/>
      <c r="G800" s="248"/>
      <c r="H800" s="248"/>
    </row>
    <row r="801" spans="1:9" x14ac:dyDescent="0.25">
      <c r="A801" s="61" t="s">
        <v>731</v>
      </c>
      <c r="B801" s="51"/>
      <c r="C801" s="51"/>
      <c r="D801" s="51"/>
      <c r="E801" s="51"/>
      <c r="F801" s="51"/>
      <c r="G801" s="51"/>
      <c r="H801" s="52"/>
    </row>
    <row r="802" spans="1:9" x14ac:dyDescent="0.25">
      <c r="A802" s="52"/>
      <c r="B802" s="248"/>
      <c r="C802" s="52"/>
      <c r="D802" s="52"/>
      <c r="E802" s="52"/>
      <c r="F802" s="52"/>
      <c r="G802" s="52"/>
      <c r="H802" s="52"/>
    </row>
    <row r="803" spans="1:9" x14ac:dyDescent="0.25">
      <c r="A803" s="53" t="s">
        <v>732</v>
      </c>
      <c r="B803" s="53"/>
      <c r="C803" s="53"/>
      <c r="D803" s="52"/>
      <c r="E803" s="52"/>
      <c r="F803" s="52"/>
      <c r="G803" s="52"/>
      <c r="H803" s="52"/>
    </row>
    <row r="804" spans="1:9" ht="26.45" customHeight="1" x14ac:dyDescent="0.25">
      <c r="A804" s="41" t="s">
        <v>0</v>
      </c>
      <c r="B804" s="54" t="s">
        <v>35</v>
      </c>
      <c r="C804" s="54" t="s">
        <v>36</v>
      </c>
      <c r="D804" s="54" t="s">
        <v>632</v>
      </c>
      <c r="E804" s="54" t="s">
        <v>193</v>
      </c>
      <c r="F804" s="54" t="s">
        <v>222</v>
      </c>
      <c r="G804" s="55" t="s">
        <v>37</v>
      </c>
      <c r="H804" s="55" t="s">
        <v>1472</v>
      </c>
      <c r="I804" s="55" t="s">
        <v>186</v>
      </c>
    </row>
    <row r="805" spans="1:9" x14ac:dyDescent="0.25">
      <c r="A805" s="32">
        <v>1</v>
      </c>
      <c r="B805" s="210" t="s">
        <v>557</v>
      </c>
      <c r="C805" s="211" t="s">
        <v>229</v>
      </c>
      <c r="D805" s="348">
        <v>1000000</v>
      </c>
      <c r="E805" s="144" t="s">
        <v>259</v>
      </c>
      <c r="F805" s="144">
        <v>0</v>
      </c>
      <c r="G805" s="144">
        <v>0</v>
      </c>
      <c r="H805" s="43">
        <f>D805+G805-F805</f>
        <v>1000000</v>
      </c>
      <c r="I805" s="48"/>
    </row>
    <row r="806" spans="1:9" ht="24" x14ac:dyDescent="0.25">
      <c r="A806" s="32">
        <v>2</v>
      </c>
      <c r="B806" s="210" t="s">
        <v>733</v>
      </c>
      <c r="C806" s="211" t="s">
        <v>734</v>
      </c>
      <c r="D806" s="348">
        <v>3000000</v>
      </c>
      <c r="E806" s="144">
        <v>2468000</v>
      </c>
      <c r="F806" s="144">
        <v>0</v>
      </c>
      <c r="G806" s="144">
        <v>2000000</v>
      </c>
      <c r="H806" s="43">
        <f t="shared" ref="H806:H812" si="24">D806+G806</f>
        <v>5000000</v>
      </c>
      <c r="I806" s="48" t="s">
        <v>185</v>
      </c>
    </row>
    <row r="807" spans="1:9" x14ac:dyDescent="0.25">
      <c r="A807" s="32">
        <v>3</v>
      </c>
      <c r="B807" s="210" t="s">
        <v>735</v>
      </c>
      <c r="C807" s="211" t="s">
        <v>736</v>
      </c>
      <c r="D807" s="213">
        <v>0</v>
      </c>
      <c r="E807" s="144" t="s">
        <v>259</v>
      </c>
      <c r="F807" s="144" t="s">
        <v>259</v>
      </c>
      <c r="G807" s="144">
        <v>0</v>
      </c>
      <c r="H807" s="43">
        <f t="shared" si="24"/>
        <v>0</v>
      </c>
      <c r="I807" s="48"/>
    </row>
    <row r="808" spans="1:9" ht="24" x14ac:dyDescent="0.25">
      <c r="A808" s="32">
        <v>4</v>
      </c>
      <c r="B808" s="210" t="s">
        <v>737</v>
      </c>
      <c r="C808" s="211" t="s">
        <v>738</v>
      </c>
      <c r="D808" s="348">
        <v>1500000</v>
      </c>
      <c r="E808" s="144">
        <v>8569000</v>
      </c>
      <c r="F808" s="144" t="s">
        <v>259</v>
      </c>
      <c r="G808" s="144">
        <v>8500000</v>
      </c>
      <c r="H808" s="43">
        <f t="shared" si="24"/>
        <v>10000000</v>
      </c>
      <c r="I808" s="48" t="s">
        <v>975</v>
      </c>
    </row>
    <row r="809" spans="1:9" ht="24" x14ac:dyDescent="0.25">
      <c r="A809" s="32">
        <v>5</v>
      </c>
      <c r="B809" s="210" t="s">
        <v>739</v>
      </c>
      <c r="C809" s="211" t="s">
        <v>740</v>
      </c>
      <c r="D809" s="348">
        <v>1500000</v>
      </c>
      <c r="E809" s="144">
        <v>750000</v>
      </c>
      <c r="F809" s="144" t="s">
        <v>259</v>
      </c>
      <c r="G809" s="144">
        <v>0</v>
      </c>
      <c r="H809" s="43">
        <f t="shared" si="24"/>
        <v>1500000</v>
      </c>
      <c r="I809" s="48"/>
    </row>
    <row r="810" spans="1:9" ht="24" x14ac:dyDescent="0.25">
      <c r="A810" s="32">
        <v>6</v>
      </c>
      <c r="B810" s="210" t="s">
        <v>741</v>
      </c>
      <c r="C810" s="211" t="s">
        <v>742</v>
      </c>
      <c r="D810" s="348">
        <v>1000000</v>
      </c>
      <c r="E810" s="144" t="s">
        <v>259</v>
      </c>
      <c r="F810" s="144" t="s">
        <v>259</v>
      </c>
      <c r="G810" s="144">
        <v>0</v>
      </c>
      <c r="H810" s="43">
        <f t="shared" si="24"/>
        <v>1000000</v>
      </c>
      <c r="I810" s="48"/>
    </row>
    <row r="811" spans="1:9" x14ac:dyDescent="0.25">
      <c r="A811" s="32">
        <v>7</v>
      </c>
      <c r="B811" s="210" t="s">
        <v>743</v>
      </c>
      <c r="C811" s="211" t="s">
        <v>744</v>
      </c>
      <c r="D811" s="348">
        <v>1000000</v>
      </c>
      <c r="E811" s="144">
        <v>950000</v>
      </c>
      <c r="F811" s="144" t="s">
        <v>259</v>
      </c>
      <c r="G811" s="144">
        <v>2000000</v>
      </c>
      <c r="H811" s="43">
        <f t="shared" si="24"/>
        <v>3000000</v>
      </c>
      <c r="I811" s="48" t="s">
        <v>185</v>
      </c>
    </row>
    <row r="812" spans="1:9" ht="24" x14ac:dyDescent="0.25">
      <c r="A812" s="32">
        <v>8</v>
      </c>
      <c r="B812" s="210" t="s">
        <v>745</v>
      </c>
      <c r="C812" s="211" t="s">
        <v>746</v>
      </c>
      <c r="D812" s="348">
        <v>1000000</v>
      </c>
      <c r="E812" s="144" t="s">
        <v>259</v>
      </c>
      <c r="F812" s="144" t="s">
        <v>259</v>
      </c>
      <c r="G812" s="144">
        <v>0</v>
      </c>
      <c r="H812" s="43">
        <f t="shared" si="24"/>
        <v>1000000</v>
      </c>
      <c r="I812" s="48"/>
    </row>
    <row r="813" spans="1:9" x14ac:dyDescent="0.25">
      <c r="A813" s="32">
        <v>9</v>
      </c>
      <c r="B813" s="210" t="s">
        <v>747</v>
      </c>
      <c r="C813" s="211" t="s">
        <v>748</v>
      </c>
      <c r="D813" s="348">
        <v>1000000</v>
      </c>
      <c r="E813" s="144">
        <v>0</v>
      </c>
      <c r="F813" s="144">
        <v>0</v>
      </c>
      <c r="G813" s="144">
        <v>0</v>
      </c>
      <c r="H813" s="43">
        <f>D813+G813-F813</f>
        <v>1000000</v>
      </c>
      <c r="I813" s="48"/>
    </row>
    <row r="814" spans="1:9" ht="60" x14ac:dyDescent="0.25">
      <c r="A814" s="32">
        <v>10</v>
      </c>
      <c r="B814" s="210" t="s">
        <v>749</v>
      </c>
      <c r="C814" s="211" t="s">
        <v>750</v>
      </c>
      <c r="D814" s="348">
        <v>1000000</v>
      </c>
      <c r="E814" s="144">
        <v>0</v>
      </c>
      <c r="F814" s="144">
        <v>0</v>
      </c>
      <c r="G814" s="144">
        <v>0</v>
      </c>
      <c r="H814" s="43">
        <f t="shared" ref="H814:H820" si="25">D814+G814</f>
        <v>1000000</v>
      </c>
      <c r="I814" s="48"/>
    </row>
    <row r="815" spans="1:9" x14ac:dyDescent="0.25">
      <c r="A815" s="32">
        <v>11</v>
      </c>
      <c r="B815" s="210" t="s">
        <v>751</v>
      </c>
      <c r="C815" s="211" t="s">
        <v>1010</v>
      </c>
      <c r="D815" s="348">
        <v>2100000</v>
      </c>
      <c r="E815" s="144">
        <v>2100000</v>
      </c>
      <c r="F815" s="144">
        <v>0</v>
      </c>
      <c r="G815" s="144">
        <v>3000000</v>
      </c>
      <c r="H815" s="43">
        <f t="shared" si="25"/>
        <v>5100000</v>
      </c>
      <c r="I815" s="48" t="s">
        <v>975</v>
      </c>
    </row>
    <row r="816" spans="1:9" x14ac:dyDescent="0.25">
      <c r="A816" s="32">
        <v>12</v>
      </c>
      <c r="B816" s="210" t="s">
        <v>752</v>
      </c>
      <c r="C816" s="211" t="s">
        <v>753</v>
      </c>
      <c r="D816" s="348">
        <v>500000</v>
      </c>
      <c r="E816" s="144">
        <v>0</v>
      </c>
      <c r="F816" s="144">
        <v>0</v>
      </c>
      <c r="G816" s="144">
        <v>0</v>
      </c>
      <c r="H816" s="43">
        <f t="shared" si="25"/>
        <v>500000</v>
      </c>
      <c r="I816" s="48"/>
    </row>
    <row r="817" spans="1:9" ht="24" x14ac:dyDescent="0.25">
      <c r="A817" s="32">
        <v>13</v>
      </c>
      <c r="B817" s="210" t="s">
        <v>754</v>
      </c>
      <c r="C817" s="211" t="s">
        <v>755</v>
      </c>
      <c r="D817" s="348">
        <v>1000000</v>
      </c>
      <c r="E817" s="144">
        <v>0</v>
      </c>
      <c r="F817" s="144">
        <v>0</v>
      </c>
      <c r="G817" s="144">
        <v>0</v>
      </c>
      <c r="H817" s="43">
        <f t="shared" si="25"/>
        <v>1000000</v>
      </c>
      <c r="I817" s="48"/>
    </row>
    <row r="818" spans="1:9" ht="24" x14ac:dyDescent="0.25">
      <c r="A818" s="32">
        <v>14</v>
      </c>
      <c r="B818" s="210" t="s">
        <v>756</v>
      </c>
      <c r="C818" s="211" t="s">
        <v>757</v>
      </c>
      <c r="D818" s="348">
        <v>400000</v>
      </c>
      <c r="E818" s="144">
        <v>0</v>
      </c>
      <c r="F818" s="144">
        <v>0</v>
      </c>
      <c r="G818" s="144">
        <v>0</v>
      </c>
      <c r="H818" s="43">
        <f t="shared" si="25"/>
        <v>400000</v>
      </c>
      <c r="I818" s="48"/>
    </row>
    <row r="819" spans="1:9" x14ac:dyDescent="0.25">
      <c r="A819" s="32">
        <v>15</v>
      </c>
      <c r="B819" s="210" t="s">
        <v>758</v>
      </c>
      <c r="C819" s="211" t="s">
        <v>759</v>
      </c>
      <c r="D819" s="348">
        <v>12000000</v>
      </c>
      <c r="E819" s="144">
        <v>2820000</v>
      </c>
      <c r="F819" s="144"/>
      <c r="G819" s="144">
        <v>27480000</v>
      </c>
      <c r="H819" s="43">
        <f t="shared" si="25"/>
        <v>39480000</v>
      </c>
      <c r="I819" s="48" t="s">
        <v>185</v>
      </c>
    </row>
    <row r="820" spans="1:9" ht="24" x14ac:dyDescent="0.25">
      <c r="A820" s="32">
        <v>16</v>
      </c>
      <c r="B820" s="210" t="s">
        <v>760</v>
      </c>
      <c r="C820" s="211" t="s">
        <v>761</v>
      </c>
      <c r="D820" s="348">
        <v>2000000</v>
      </c>
      <c r="E820" s="144">
        <v>900000</v>
      </c>
      <c r="F820" s="144">
        <v>0</v>
      </c>
      <c r="G820" s="144">
        <v>0</v>
      </c>
      <c r="H820" s="43">
        <f t="shared" si="25"/>
        <v>2000000</v>
      </c>
      <c r="I820" s="48"/>
    </row>
    <row r="821" spans="1:9" x14ac:dyDescent="0.25">
      <c r="A821" s="58"/>
      <c r="B821" s="59"/>
      <c r="C821" s="42" t="s">
        <v>38</v>
      </c>
      <c r="D821" s="62">
        <f>SUM(D797:D820)</f>
        <v>30000000</v>
      </c>
      <c r="E821" s="145">
        <f>SUM(E797:E820)</f>
        <v>18557000</v>
      </c>
      <c r="F821" s="145">
        <f>SUM(F797:F820)</f>
        <v>0</v>
      </c>
      <c r="G821" s="145">
        <f>SUM(G797:G820)</f>
        <v>42980000</v>
      </c>
      <c r="H821" s="145">
        <f>SUM(H797:H820)</f>
        <v>72980000</v>
      </c>
      <c r="I821" s="58"/>
    </row>
    <row r="822" spans="1:9" x14ac:dyDescent="0.25">
      <c r="A822" s="643"/>
      <c r="B822" s="644"/>
      <c r="C822" s="258"/>
      <c r="D822" s="259"/>
      <c r="E822" s="260"/>
      <c r="F822" s="260"/>
      <c r="G822" s="260"/>
      <c r="H822" s="260"/>
      <c r="I822" s="643"/>
    </row>
    <row r="823" spans="1:9" x14ac:dyDescent="0.25">
      <c r="A823" s="643"/>
      <c r="B823" s="644"/>
      <c r="C823" s="258"/>
      <c r="D823" s="259"/>
      <c r="E823" s="260"/>
      <c r="F823" s="260"/>
      <c r="G823" s="260"/>
      <c r="H823" s="260"/>
      <c r="I823" s="643"/>
    </row>
    <row r="824" spans="1:9" x14ac:dyDescent="0.25">
      <c r="A824" s="643"/>
      <c r="B824" s="644"/>
      <c r="C824" s="258"/>
      <c r="D824" s="259"/>
      <c r="E824" s="260"/>
      <c r="F824" s="260"/>
      <c r="G824" s="260"/>
      <c r="H824" s="260"/>
      <c r="I824" s="643"/>
    </row>
    <row r="825" spans="1:9" x14ac:dyDescent="0.25">
      <c r="A825" s="677" t="s">
        <v>633</v>
      </c>
      <c r="B825" s="677"/>
      <c r="C825" s="677"/>
      <c r="D825" s="677"/>
      <c r="E825" s="677"/>
      <c r="F825" s="677"/>
      <c r="G825" s="677"/>
      <c r="H825" s="677"/>
      <c r="I825" s="677"/>
    </row>
    <row r="826" spans="1:9" x14ac:dyDescent="0.25">
      <c r="A826" s="677" t="s">
        <v>1473</v>
      </c>
      <c r="B826" s="677"/>
      <c r="C826" s="677"/>
      <c r="D826" s="677"/>
      <c r="E826" s="677"/>
      <c r="F826" s="677"/>
      <c r="G826" s="677"/>
      <c r="H826" s="677"/>
      <c r="I826" s="677"/>
    </row>
    <row r="827" spans="1:9" x14ac:dyDescent="0.25">
      <c r="A827" s="677" t="s">
        <v>34</v>
      </c>
      <c r="B827" s="677"/>
      <c r="C827" s="677"/>
      <c r="D827" s="677"/>
      <c r="E827" s="677"/>
      <c r="F827" s="677"/>
      <c r="G827" s="677"/>
      <c r="H827" s="677"/>
      <c r="I827" s="677"/>
    </row>
    <row r="828" spans="1:9" x14ac:dyDescent="0.25">
      <c r="A828" s="641"/>
      <c r="B828" s="641"/>
      <c r="C828" s="641"/>
      <c r="D828" s="641"/>
      <c r="E828" s="641"/>
      <c r="F828" s="641"/>
      <c r="G828" s="641"/>
      <c r="H828" s="641"/>
    </row>
    <row r="829" spans="1:9" x14ac:dyDescent="0.25">
      <c r="A829" s="61" t="s">
        <v>1452</v>
      </c>
      <c r="B829" s="51"/>
      <c r="C829" s="51"/>
      <c r="D829" s="51"/>
      <c r="E829" s="51"/>
      <c r="F829" s="51"/>
      <c r="G829" s="51"/>
      <c r="H829" s="52"/>
    </row>
    <row r="830" spans="1:9" x14ac:dyDescent="0.25">
      <c r="A830" s="52"/>
      <c r="B830" s="641"/>
      <c r="C830" s="52"/>
      <c r="D830" s="52"/>
      <c r="E830" s="52"/>
      <c r="F830" s="52"/>
      <c r="G830" s="52"/>
      <c r="H830" s="52"/>
    </row>
    <row r="831" spans="1:9" x14ac:dyDescent="0.25">
      <c r="A831" s="53" t="s">
        <v>1453</v>
      </c>
      <c r="B831" s="53"/>
      <c r="C831" s="53"/>
      <c r="D831" s="52"/>
      <c r="E831" s="52"/>
      <c r="F831" s="52"/>
      <c r="G831" s="52"/>
      <c r="H831" s="52"/>
    </row>
    <row r="832" spans="1:9" ht="26.45" customHeight="1" x14ac:dyDescent="0.25">
      <c r="A832" s="41" t="s">
        <v>0</v>
      </c>
      <c r="B832" s="54" t="s">
        <v>35</v>
      </c>
      <c r="C832" s="54" t="s">
        <v>36</v>
      </c>
      <c r="D832" s="54" t="s">
        <v>632</v>
      </c>
      <c r="E832" s="54" t="s">
        <v>193</v>
      </c>
      <c r="F832" s="54" t="s">
        <v>222</v>
      </c>
      <c r="G832" s="55" t="s">
        <v>37</v>
      </c>
      <c r="H832" s="55" t="s">
        <v>1472</v>
      </c>
      <c r="I832" s="55" t="s">
        <v>186</v>
      </c>
    </row>
    <row r="833" spans="1:9" ht="24" x14ac:dyDescent="0.25">
      <c r="A833" s="32">
        <v>1</v>
      </c>
      <c r="B833" s="210" t="s">
        <v>1454</v>
      </c>
      <c r="C833" s="211" t="s">
        <v>240</v>
      </c>
      <c r="D833" s="348">
        <v>25000000</v>
      </c>
      <c r="E833" s="144" t="s">
        <v>259</v>
      </c>
      <c r="F833" s="144">
        <v>15000000</v>
      </c>
      <c r="G833" s="144">
        <v>0</v>
      </c>
      <c r="H833" s="43">
        <f>D833+G833-F833</f>
        <v>10000000</v>
      </c>
      <c r="I833" s="48" t="s">
        <v>1455</v>
      </c>
    </row>
    <row r="834" spans="1:9" x14ac:dyDescent="0.25">
      <c r="A834" s="32"/>
      <c r="B834" s="210"/>
      <c r="C834" s="266" t="s">
        <v>38</v>
      </c>
      <c r="D834" s="645"/>
      <c r="E834" s="646"/>
      <c r="F834" s="646"/>
      <c r="G834" s="646"/>
      <c r="H834" s="145">
        <f>SUM(H833)</f>
        <v>10000000</v>
      </c>
      <c r="I834" s="48"/>
    </row>
    <row r="835" spans="1:9" x14ac:dyDescent="0.25">
      <c r="A835" s="643"/>
      <c r="B835" s="644"/>
      <c r="C835" s="258"/>
      <c r="D835" s="259"/>
      <c r="E835" s="260"/>
      <c r="F835" s="260"/>
      <c r="G835" s="260"/>
      <c r="H835" s="260"/>
      <c r="I835" s="643"/>
    </row>
    <row r="836" spans="1:9" x14ac:dyDescent="0.25">
      <c r="A836" s="643"/>
      <c r="B836" s="644"/>
      <c r="C836" s="258"/>
      <c r="D836" s="259"/>
      <c r="E836" s="260"/>
      <c r="F836" s="260"/>
      <c r="G836" s="260"/>
      <c r="H836" s="260"/>
      <c r="I836" s="643"/>
    </row>
    <row r="837" spans="1:9" x14ac:dyDescent="0.25">
      <c r="A837" s="643"/>
      <c r="B837" s="644"/>
      <c r="C837" s="258"/>
      <c r="D837" s="259"/>
      <c r="E837" s="260"/>
      <c r="F837" s="260"/>
      <c r="G837" s="260"/>
      <c r="H837" s="260"/>
      <c r="I837" s="643"/>
    </row>
    <row r="838" spans="1:9" x14ac:dyDescent="0.25">
      <c r="A838" s="643"/>
      <c r="B838" s="644"/>
      <c r="C838" s="258"/>
      <c r="D838" s="259"/>
      <c r="E838" s="260"/>
      <c r="F838" s="260"/>
      <c r="G838" s="260"/>
      <c r="H838" s="260"/>
      <c r="I838" s="643"/>
    </row>
    <row r="839" spans="1:9" x14ac:dyDescent="0.25">
      <c r="A839" s="643"/>
      <c r="B839" s="644"/>
      <c r="C839" s="258"/>
      <c r="D839" s="259"/>
      <c r="E839" s="260"/>
      <c r="F839" s="260"/>
      <c r="G839" s="260"/>
      <c r="H839" s="260"/>
      <c r="I839" s="643"/>
    </row>
    <row r="840" spans="1:9" x14ac:dyDescent="0.25">
      <c r="A840" s="643"/>
      <c r="B840" s="644"/>
      <c r="C840" s="258"/>
      <c r="D840" s="259"/>
      <c r="E840" s="260"/>
      <c r="F840" s="260"/>
      <c r="G840" s="260"/>
      <c r="H840" s="260"/>
      <c r="I840" s="643"/>
    </row>
    <row r="841" spans="1:9" x14ac:dyDescent="0.25">
      <c r="A841" s="643"/>
      <c r="B841" s="644"/>
      <c r="C841" s="258"/>
      <c r="D841" s="259"/>
      <c r="E841" s="260"/>
      <c r="F841" s="260"/>
      <c r="G841" s="260"/>
      <c r="H841" s="260"/>
      <c r="I841" s="643"/>
    </row>
    <row r="842" spans="1:9" x14ac:dyDescent="0.25">
      <c r="A842" s="643"/>
      <c r="B842" s="644"/>
      <c r="C842" s="258"/>
      <c r="D842" s="259"/>
      <c r="E842" s="260"/>
      <c r="F842" s="260"/>
      <c r="G842" s="260"/>
      <c r="H842" s="260"/>
      <c r="I842" s="643"/>
    </row>
    <row r="843" spans="1:9" x14ac:dyDescent="0.25">
      <c r="A843" s="643"/>
      <c r="B843" s="644"/>
      <c r="C843" s="258"/>
      <c r="D843" s="259"/>
      <c r="E843" s="260"/>
      <c r="F843" s="260"/>
      <c r="G843" s="260"/>
      <c r="H843" s="260"/>
      <c r="I843" s="643"/>
    </row>
    <row r="844" spans="1:9" x14ac:dyDescent="0.25">
      <c r="A844" s="643"/>
      <c r="B844" s="644"/>
      <c r="C844" s="258"/>
      <c r="D844" s="259"/>
      <c r="E844" s="260"/>
      <c r="F844" s="260"/>
      <c r="G844" s="260"/>
      <c r="H844" s="260"/>
      <c r="I844" s="643"/>
    </row>
    <row r="845" spans="1:9" x14ac:dyDescent="0.25">
      <c r="A845" s="643"/>
      <c r="B845" s="644"/>
      <c r="C845" s="258"/>
      <c r="D845" s="259"/>
      <c r="E845" s="260"/>
      <c r="F845" s="260"/>
      <c r="G845" s="260"/>
      <c r="H845" s="260"/>
      <c r="I845" s="643"/>
    </row>
    <row r="846" spans="1:9" x14ac:dyDescent="0.25">
      <c r="A846" s="643"/>
      <c r="B846" s="644"/>
      <c r="C846" s="258"/>
      <c r="D846" s="259"/>
      <c r="E846" s="260"/>
      <c r="F846" s="260"/>
      <c r="G846" s="260"/>
      <c r="H846" s="260"/>
      <c r="I846" s="643"/>
    </row>
    <row r="847" spans="1:9" x14ac:dyDescent="0.25">
      <c r="A847" s="643"/>
      <c r="B847" s="644"/>
      <c r="C847" s="258"/>
      <c r="D847" s="259"/>
      <c r="E847" s="260"/>
      <c r="F847" s="260"/>
      <c r="G847" s="260"/>
      <c r="H847" s="260"/>
      <c r="I847" s="643"/>
    </row>
    <row r="848" spans="1:9" x14ac:dyDescent="0.25">
      <c r="A848" s="643"/>
      <c r="B848" s="644"/>
      <c r="C848" s="258"/>
      <c r="D848" s="259"/>
      <c r="E848" s="260"/>
      <c r="F848" s="260"/>
      <c r="G848" s="260"/>
      <c r="H848" s="260"/>
      <c r="I848" s="643"/>
    </row>
    <row r="849" spans="1:9" x14ac:dyDescent="0.25">
      <c r="A849" s="643"/>
      <c r="B849" s="644"/>
      <c r="C849" s="258"/>
      <c r="D849" s="259"/>
      <c r="E849" s="260"/>
      <c r="F849" s="260"/>
      <c r="G849" s="260"/>
      <c r="H849" s="260"/>
      <c r="I849" s="643"/>
    </row>
    <row r="850" spans="1:9" x14ac:dyDescent="0.25">
      <c r="A850" s="643"/>
      <c r="B850" s="644"/>
      <c r="C850" s="258"/>
      <c r="D850" s="259"/>
      <c r="E850" s="260"/>
      <c r="F850" s="260"/>
      <c r="G850" s="260"/>
      <c r="H850" s="260"/>
      <c r="I850" s="643"/>
    </row>
    <row r="851" spans="1:9" x14ac:dyDescent="0.25">
      <c r="A851" s="643"/>
      <c r="B851" s="644"/>
      <c r="C851" s="258"/>
      <c r="D851" s="259"/>
      <c r="E851" s="260"/>
      <c r="F851" s="260"/>
      <c r="G851" s="260"/>
      <c r="H851" s="260"/>
      <c r="I851" s="643"/>
    </row>
    <row r="852" spans="1:9" x14ac:dyDescent="0.25">
      <c r="A852" s="643"/>
      <c r="B852" s="644"/>
      <c r="C852" s="258"/>
      <c r="D852" s="259"/>
      <c r="E852" s="260"/>
      <c r="F852" s="260"/>
      <c r="G852" s="260"/>
      <c r="H852" s="260"/>
      <c r="I852" s="643"/>
    </row>
    <row r="853" spans="1:9" x14ac:dyDescent="0.25">
      <c r="A853" s="643"/>
      <c r="B853" s="644"/>
      <c r="C853" s="258"/>
      <c r="D853" s="259"/>
      <c r="E853" s="260"/>
      <c r="F853" s="260"/>
      <c r="G853" s="260"/>
      <c r="H853" s="260"/>
      <c r="I853" s="643"/>
    </row>
    <row r="854" spans="1:9" x14ac:dyDescent="0.25">
      <c r="A854" s="643"/>
      <c r="B854" s="644"/>
      <c r="C854" s="258"/>
      <c r="D854" s="259"/>
      <c r="E854" s="260"/>
      <c r="F854" s="260"/>
      <c r="G854" s="260"/>
      <c r="H854" s="260"/>
      <c r="I854" s="643"/>
    </row>
    <row r="855" spans="1:9" x14ac:dyDescent="0.25">
      <c r="A855" s="643"/>
      <c r="B855" s="644"/>
      <c r="C855" s="258"/>
      <c r="D855" s="259"/>
      <c r="E855" s="260"/>
      <c r="F855" s="260"/>
      <c r="G855" s="260"/>
      <c r="H855" s="260"/>
      <c r="I855" s="643"/>
    </row>
    <row r="856" spans="1:9" x14ac:dyDescent="0.25">
      <c r="A856" s="677" t="s">
        <v>633</v>
      </c>
      <c r="B856" s="677"/>
      <c r="C856" s="677"/>
      <c r="D856" s="677"/>
      <c r="E856" s="677"/>
      <c r="F856" s="677"/>
      <c r="G856" s="677"/>
      <c r="H856" s="677"/>
      <c r="I856" s="677"/>
    </row>
    <row r="857" spans="1:9" x14ac:dyDescent="0.25">
      <c r="A857" s="677" t="s">
        <v>1473</v>
      </c>
      <c r="B857" s="677"/>
      <c r="C857" s="677"/>
      <c r="D857" s="677"/>
      <c r="E857" s="677"/>
      <c r="F857" s="677"/>
      <c r="G857" s="677"/>
      <c r="H857" s="677"/>
      <c r="I857" s="677"/>
    </row>
    <row r="858" spans="1:9" x14ac:dyDescent="0.25">
      <c r="A858" s="677" t="s">
        <v>34</v>
      </c>
      <c r="B858" s="677"/>
      <c r="C858" s="677"/>
      <c r="D858" s="677"/>
      <c r="E858" s="677"/>
      <c r="F858" s="677"/>
      <c r="G858" s="677"/>
      <c r="H858" s="677"/>
      <c r="I858" s="677"/>
    </row>
    <row r="859" spans="1:9" x14ac:dyDescent="0.25">
      <c r="A859" s="343"/>
      <c r="B859" s="343"/>
      <c r="C859" s="343"/>
      <c r="D859" s="343"/>
      <c r="E859" s="343"/>
      <c r="F859" s="343"/>
      <c r="G859" s="343"/>
      <c r="H859" s="343"/>
    </row>
    <row r="860" spans="1:9" x14ac:dyDescent="0.25">
      <c r="A860" s="61" t="s">
        <v>1075</v>
      </c>
      <c r="B860" s="51"/>
      <c r="C860" s="51"/>
      <c r="D860" s="51"/>
      <c r="E860" s="51"/>
      <c r="F860" s="51"/>
      <c r="G860" s="51"/>
      <c r="H860" s="52"/>
    </row>
    <row r="861" spans="1:9" x14ac:dyDescent="0.25">
      <c r="A861" s="52"/>
      <c r="B861" s="343"/>
      <c r="C861" s="52"/>
      <c r="D861" s="52"/>
      <c r="E861" s="52"/>
      <c r="F861" s="52"/>
      <c r="G861" s="52"/>
      <c r="H861" s="52"/>
    </row>
    <row r="862" spans="1:9" x14ac:dyDescent="0.25">
      <c r="A862" s="53" t="s">
        <v>1076</v>
      </c>
      <c r="B862" s="53"/>
      <c r="C862" s="53"/>
      <c r="D862" s="52"/>
      <c r="E862" s="52"/>
      <c r="F862" s="52"/>
      <c r="G862" s="52"/>
      <c r="H862" s="52"/>
    </row>
    <row r="863" spans="1:9" ht="26.45" customHeight="1" x14ac:dyDescent="0.25">
      <c r="A863" s="41" t="s">
        <v>0</v>
      </c>
      <c r="B863" s="54" t="s">
        <v>35</v>
      </c>
      <c r="C863" s="54" t="s">
        <v>36</v>
      </c>
      <c r="D863" s="54" t="s">
        <v>632</v>
      </c>
      <c r="E863" s="54" t="s">
        <v>193</v>
      </c>
      <c r="F863" s="54" t="s">
        <v>222</v>
      </c>
      <c r="G863" s="55" t="s">
        <v>37</v>
      </c>
      <c r="H863" s="55" t="s">
        <v>1472</v>
      </c>
      <c r="I863" s="55" t="s">
        <v>186</v>
      </c>
    </row>
    <row r="864" spans="1:9" x14ac:dyDescent="0.25">
      <c r="A864" s="32">
        <v>1</v>
      </c>
      <c r="B864" s="210" t="s">
        <v>1077</v>
      </c>
      <c r="C864" s="211" t="s">
        <v>1116</v>
      </c>
      <c r="D864" s="212">
        <v>1484000</v>
      </c>
      <c r="E864" s="98"/>
      <c r="F864" s="98"/>
      <c r="G864" s="98"/>
      <c r="H864" s="43">
        <f t="shared" ref="H864:H883" si="26">D864+G864-F864</f>
        <v>1484000</v>
      </c>
      <c r="I864" s="48"/>
    </row>
    <row r="865" spans="1:9" x14ac:dyDescent="0.25">
      <c r="A865" s="32">
        <v>2</v>
      </c>
      <c r="B865" s="210" t="s">
        <v>1078</v>
      </c>
      <c r="C865" s="211" t="s">
        <v>1097</v>
      </c>
      <c r="D865" s="212">
        <v>10000000</v>
      </c>
      <c r="E865" s="98"/>
      <c r="F865" s="98"/>
      <c r="G865" s="98"/>
      <c r="H865" s="43">
        <f t="shared" si="26"/>
        <v>10000000</v>
      </c>
      <c r="I865" s="48"/>
    </row>
    <row r="866" spans="1:9" x14ac:dyDescent="0.25">
      <c r="A866" s="32">
        <v>3</v>
      </c>
      <c r="B866" s="210" t="s">
        <v>1079</v>
      </c>
      <c r="C866" s="211" t="s">
        <v>1098</v>
      </c>
      <c r="D866" s="212">
        <v>10000000</v>
      </c>
      <c r="E866" s="98"/>
      <c r="F866" s="98"/>
      <c r="G866" s="98"/>
      <c r="H866" s="43">
        <f t="shared" si="26"/>
        <v>10000000</v>
      </c>
      <c r="I866" s="48"/>
    </row>
    <row r="867" spans="1:9" x14ac:dyDescent="0.25">
      <c r="A867" s="32">
        <v>4</v>
      </c>
      <c r="B867" s="210" t="s">
        <v>1080</v>
      </c>
      <c r="C867" s="211" t="s">
        <v>1099</v>
      </c>
      <c r="D867" s="212">
        <v>3000000</v>
      </c>
      <c r="E867" s="98"/>
      <c r="F867" s="98">
        <v>2000000</v>
      </c>
      <c r="G867" s="98"/>
      <c r="H867" s="43">
        <f t="shared" si="26"/>
        <v>1000000</v>
      </c>
      <c r="I867" s="48"/>
    </row>
    <row r="868" spans="1:9" x14ac:dyDescent="0.25">
      <c r="A868" s="32">
        <v>5</v>
      </c>
      <c r="B868" s="210" t="s">
        <v>1081</v>
      </c>
      <c r="C868" s="211" t="s">
        <v>1100</v>
      </c>
      <c r="D868" s="212">
        <v>9000000</v>
      </c>
      <c r="E868" s="98"/>
      <c r="F868" s="98">
        <v>8508000</v>
      </c>
      <c r="G868" s="98"/>
      <c r="H868" s="43">
        <f t="shared" si="26"/>
        <v>492000</v>
      </c>
      <c r="I868" s="48"/>
    </row>
    <row r="869" spans="1:9" x14ac:dyDescent="0.25">
      <c r="A869" s="32">
        <v>6</v>
      </c>
      <c r="B869" s="210" t="s">
        <v>1082</v>
      </c>
      <c r="C869" s="211" t="s">
        <v>1101</v>
      </c>
      <c r="D869" s="212">
        <v>3000000</v>
      </c>
      <c r="E869" s="98"/>
      <c r="F869" s="98"/>
      <c r="G869" s="98"/>
      <c r="H869" s="43">
        <f t="shared" si="26"/>
        <v>3000000</v>
      </c>
      <c r="I869" s="48"/>
    </row>
    <row r="870" spans="1:9" x14ac:dyDescent="0.25">
      <c r="A870" s="32">
        <v>7</v>
      </c>
      <c r="B870" s="210" t="s">
        <v>1083</v>
      </c>
      <c r="C870" s="211" t="s">
        <v>1102</v>
      </c>
      <c r="D870" s="212">
        <v>3000000</v>
      </c>
      <c r="E870" s="98"/>
      <c r="F870" s="98"/>
      <c r="G870" s="98"/>
      <c r="H870" s="43">
        <f t="shared" si="26"/>
        <v>3000000</v>
      </c>
      <c r="I870" s="48"/>
    </row>
    <row r="871" spans="1:9" x14ac:dyDescent="0.25">
      <c r="A871" s="32">
        <v>8</v>
      </c>
      <c r="B871" s="210" t="s">
        <v>1084</v>
      </c>
      <c r="C871" s="211" t="s">
        <v>1103</v>
      </c>
      <c r="D871" s="212">
        <v>3000000</v>
      </c>
      <c r="E871" s="98"/>
      <c r="F871" s="98"/>
      <c r="G871" s="98"/>
      <c r="H871" s="43">
        <f t="shared" si="26"/>
        <v>3000000</v>
      </c>
      <c r="I871" s="48"/>
    </row>
    <row r="872" spans="1:9" x14ac:dyDescent="0.25">
      <c r="A872" s="32">
        <v>9</v>
      </c>
      <c r="B872" s="210" t="s">
        <v>1085</v>
      </c>
      <c r="C872" s="211" t="s">
        <v>1104</v>
      </c>
      <c r="D872" s="212">
        <v>5000000</v>
      </c>
      <c r="E872" s="98"/>
      <c r="F872" s="98"/>
      <c r="G872" s="98"/>
      <c r="H872" s="43">
        <f t="shared" si="26"/>
        <v>5000000</v>
      </c>
      <c r="I872" s="48"/>
    </row>
    <row r="873" spans="1:9" x14ac:dyDescent="0.25">
      <c r="A873" s="32">
        <v>10</v>
      </c>
      <c r="B873" s="210" t="s">
        <v>1086</v>
      </c>
      <c r="C873" s="211" t="s">
        <v>1105</v>
      </c>
      <c r="D873" s="212">
        <v>1000000</v>
      </c>
      <c r="E873" s="98"/>
      <c r="F873" s="98"/>
      <c r="G873" s="98"/>
      <c r="H873" s="43">
        <f t="shared" si="26"/>
        <v>1000000</v>
      </c>
      <c r="I873" s="48"/>
    </row>
    <row r="874" spans="1:9" ht="24" x14ac:dyDescent="0.25">
      <c r="A874" s="32">
        <v>11</v>
      </c>
      <c r="B874" s="210" t="s">
        <v>1087</v>
      </c>
      <c r="C874" s="211" t="s">
        <v>1106</v>
      </c>
      <c r="D874" s="212">
        <v>1000000</v>
      </c>
      <c r="E874" s="98"/>
      <c r="F874" s="98"/>
      <c r="G874" s="98"/>
      <c r="H874" s="43">
        <f t="shared" si="26"/>
        <v>1000000</v>
      </c>
      <c r="I874" s="48"/>
    </row>
    <row r="875" spans="1:9" x14ac:dyDescent="0.25">
      <c r="A875" s="32">
        <v>12</v>
      </c>
      <c r="B875" s="210" t="s">
        <v>1088</v>
      </c>
      <c r="C875" s="211" t="s">
        <v>1107</v>
      </c>
      <c r="D875" s="212">
        <v>3000000</v>
      </c>
      <c r="E875" s="98"/>
      <c r="F875" s="98">
        <v>2000000</v>
      </c>
      <c r="G875" s="98"/>
      <c r="H875" s="43">
        <f t="shared" si="26"/>
        <v>1000000</v>
      </c>
      <c r="I875" s="48"/>
    </row>
    <row r="876" spans="1:9" x14ac:dyDescent="0.25">
      <c r="A876" s="32">
        <v>13</v>
      </c>
      <c r="B876" s="210" t="s">
        <v>1089</v>
      </c>
      <c r="C876" s="211" t="s">
        <v>1108</v>
      </c>
      <c r="D876" s="212">
        <v>20500000</v>
      </c>
      <c r="E876" s="98"/>
      <c r="F876" s="98">
        <v>5000000</v>
      </c>
      <c r="G876" s="98"/>
      <c r="H876" s="43">
        <f t="shared" si="26"/>
        <v>15500000</v>
      </c>
      <c r="I876" s="48"/>
    </row>
    <row r="877" spans="1:9" ht="24" x14ac:dyDescent="0.25">
      <c r="A877" s="32">
        <v>14</v>
      </c>
      <c r="B877" s="210" t="s">
        <v>1090</v>
      </c>
      <c r="C877" s="211" t="s">
        <v>1109</v>
      </c>
      <c r="D877" s="212">
        <v>2000000</v>
      </c>
      <c r="E877" s="98"/>
      <c r="F877" s="98"/>
      <c r="G877" s="98"/>
      <c r="H877" s="43">
        <f t="shared" si="26"/>
        <v>2000000</v>
      </c>
      <c r="I877" s="48"/>
    </row>
    <row r="878" spans="1:9" ht="24" x14ac:dyDescent="0.25">
      <c r="A878" s="32">
        <v>15</v>
      </c>
      <c r="B878" s="210" t="s">
        <v>1091</v>
      </c>
      <c r="C878" s="211" t="s">
        <v>1110</v>
      </c>
      <c r="D878" s="212">
        <v>2000000</v>
      </c>
      <c r="E878" s="98"/>
      <c r="F878" s="98"/>
      <c r="G878" s="98"/>
      <c r="H878" s="43">
        <f t="shared" si="26"/>
        <v>2000000</v>
      </c>
      <c r="I878" s="48"/>
    </row>
    <row r="879" spans="1:9" x14ac:dyDescent="0.25">
      <c r="A879" s="32">
        <v>16</v>
      </c>
      <c r="B879" s="210" t="s">
        <v>1092</v>
      </c>
      <c r="C879" s="211" t="s">
        <v>1111</v>
      </c>
      <c r="D879" s="212">
        <v>2000000</v>
      </c>
      <c r="E879" s="98"/>
      <c r="F879" s="98"/>
      <c r="G879" s="98"/>
      <c r="H879" s="43">
        <f t="shared" si="26"/>
        <v>2000000</v>
      </c>
      <c r="I879" s="48"/>
    </row>
    <row r="880" spans="1:9" x14ac:dyDescent="0.25">
      <c r="A880" s="32">
        <v>17</v>
      </c>
      <c r="B880" s="210" t="s">
        <v>1093</v>
      </c>
      <c r="C880" s="211" t="s">
        <v>1112</v>
      </c>
      <c r="D880" s="212">
        <v>35016000</v>
      </c>
      <c r="E880" s="62"/>
      <c r="F880" s="145"/>
      <c r="G880" s="43">
        <v>17508000</v>
      </c>
      <c r="H880" s="43">
        <f t="shared" si="26"/>
        <v>52524000</v>
      </c>
      <c r="I880" s="30"/>
    </row>
    <row r="881" spans="1:9" ht="24" x14ac:dyDescent="0.25">
      <c r="A881" s="32">
        <v>18</v>
      </c>
      <c r="B881" s="210" t="s">
        <v>1094</v>
      </c>
      <c r="C881" s="211" t="s">
        <v>1113</v>
      </c>
      <c r="D881" s="212">
        <v>11500000</v>
      </c>
      <c r="E881" s="62"/>
      <c r="F881" s="145"/>
      <c r="G881" s="43"/>
      <c r="H881" s="43">
        <f t="shared" si="26"/>
        <v>11500000</v>
      </c>
      <c r="I881" s="30"/>
    </row>
    <row r="882" spans="1:9" x14ac:dyDescent="0.25">
      <c r="A882" s="32">
        <v>19</v>
      </c>
      <c r="B882" s="210" t="s">
        <v>1095</v>
      </c>
      <c r="C882" s="211" t="s">
        <v>1114</v>
      </c>
      <c r="D882" s="212">
        <v>1000000</v>
      </c>
      <c r="E882" s="62"/>
      <c r="F882" s="145"/>
      <c r="G882" s="43"/>
      <c r="H882" s="43">
        <f t="shared" si="26"/>
        <v>1000000</v>
      </c>
      <c r="I882" s="30"/>
    </row>
    <row r="883" spans="1:9" ht="24" x14ac:dyDescent="0.25">
      <c r="A883" s="32">
        <v>20</v>
      </c>
      <c r="B883" s="210" t="s">
        <v>1096</v>
      </c>
      <c r="C883" s="211" t="s">
        <v>1115</v>
      </c>
      <c r="D883" s="212">
        <v>6000000</v>
      </c>
      <c r="E883" s="62"/>
      <c r="F883" s="145"/>
      <c r="G883" s="43"/>
      <c r="H883" s="43">
        <f t="shared" si="26"/>
        <v>6000000</v>
      </c>
      <c r="I883" s="30"/>
    </row>
    <row r="884" spans="1:9" x14ac:dyDescent="0.25">
      <c r="A884" s="30"/>
      <c r="B884" s="28"/>
      <c r="C884" s="42" t="s">
        <v>965</v>
      </c>
      <c r="D884" s="145">
        <f>SUM(D864:D883)</f>
        <v>132500000</v>
      </c>
      <c r="E884" s="145">
        <f>SUM(E864:E883)</f>
        <v>0</v>
      </c>
      <c r="F884" s="145">
        <f>SUM(F864:F883)</f>
        <v>17508000</v>
      </c>
      <c r="G884" s="145">
        <f>SUM(G864:G883)</f>
        <v>17508000</v>
      </c>
      <c r="H884" s="145">
        <f>SUM(H864:H883)</f>
        <v>132500000</v>
      </c>
      <c r="I884" s="30"/>
    </row>
    <row r="885" spans="1:9" x14ac:dyDescent="0.25">
      <c r="A885" s="5"/>
      <c r="B885" s="257"/>
      <c r="C885" s="258"/>
      <c r="D885" s="259"/>
      <c r="E885" s="259"/>
      <c r="F885" s="260"/>
      <c r="G885" s="260"/>
      <c r="H885" s="260"/>
      <c r="I885" s="5"/>
    </row>
  </sheetData>
  <mergeCells count="75">
    <mergeCell ref="A827:I827"/>
    <mergeCell ref="A561:I561"/>
    <mergeCell ref="A562:I562"/>
    <mergeCell ref="A563:I563"/>
    <mergeCell ref="A798:I798"/>
    <mergeCell ref="A799:I799"/>
    <mergeCell ref="A592:I592"/>
    <mergeCell ref="A797:I797"/>
    <mergeCell ref="A737:I737"/>
    <mergeCell ref="A738:I738"/>
    <mergeCell ref="A739:I739"/>
    <mergeCell ref="A684:I684"/>
    <mergeCell ref="A685:I685"/>
    <mergeCell ref="A591:I591"/>
    <mergeCell ref="A622:I622"/>
    <mergeCell ref="A34:I34"/>
    <mergeCell ref="A35:I35"/>
    <mergeCell ref="A36:I36"/>
    <mergeCell ref="A825:I825"/>
    <mergeCell ref="A826:I826"/>
    <mergeCell ref="A351:I351"/>
    <mergeCell ref="A99:I99"/>
    <mergeCell ref="A498:I498"/>
    <mergeCell ref="A131:I131"/>
    <mergeCell ref="A132:I132"/>
    <mergeCell ref="A197:I197"/>
    <mergeCell ref="A198:I198"/>
    <mergeCell ref="A100:I100"/>
    <mergeCell ref="A101:I101"/>
    <mergeCell ref="A349:I349"/>
    <mergeCell ref="A350:I350"/>
    <mergeCell ref="A499:I499"/>
    <mergeCell ref="A500:I500"/>
    <mergeCell ref="A380:I380"/>
    <mergeCell ref="A381:I381"/>
    <mergeCell ref="A382:I382"/>
    <mergeCell ref="A408:I408"/>
    <mergeCell ref="A409:I409"/>
    <mergeCell ref="A165:I165"/>
    <mergeCell ref="A288:I288"/>
    <mergeCell ref="A289:I289"/>
    <mergeCell ref="A290:I290"/>
    <mergeCell ref="A410:I410"/>
    <mergeCell ref="A857:I857"/>
    <mergeCell ref="A133:I133"/>
    <mergeCell ref="A255:I255"/>
    <mergeCell ref="A256:I256"/>
    <mergeCell ref="A257:I257"/>
    <mergeCell ref="A623:I623"/>
    <mergeCell ref="A624:I624"/>
    <mergeCell ref="A528:I528"/>
    <mergeCell ref="A529:I529"/>
    <mergeCell ref="A318:I318"/>
    <mergeCell ref="A319:I319"/>
    <mergeCell ref="A320:I320"/>
    <mergeCell ref="A856:I856"/>
    <mergeCell ref="A530:I530"/>
    <mergeCell ref="A163:I163"/>
    <mergeCell ref="A164:I164"/>
    <mergeCell ref="A1:I1"/>
    <mergeCell ref="A2:I2"/>
    <mergeCell ref="A3:I3"/>
    <mergeCell ref="A858:I858"/>
    <mergeCell ref="A686:I686"/>
    <mergeCell ref="A652:I652"/>
    <mergeCell ref="A653:I653"/>
    <mergeCell ref="A654:I654"/>
    <mergeCell ref="A66:I66"/>
    <mergeCell ref="A67:I67"/>
    <mergeCell ref="A68:I68"/>
    <mergeCell ref="A590:I590"/>
    <mergeCell ref="A466:I466"/>
    <mergeCell ref="A467:I467"/>
    <mergeCell ref="A468:I468"/>
    <mergeCell ref="A196:I196"/>
  </mergeCells>
  <pageMargins left="0.5" right="0.2" top="0.75" bottom="0.75" header="0.3" footer="0.3"/>
  <pageSetup firstPageNumber="10" orientation="landscape" useFirstPageNumber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8</vt:i4>
      </vt:variant>
    </vt:vector>
  </HeadingPairs>
  <TitlesOfParts>
    <vt:vector size="24" baseType="lpstr">
      <vt:lpstr>Overall Summary Revenue</vt:lpstr>
      <vt:lpstr>Revenue Details</vt:lpstr>
      <vt:lpstr>Overall summary R&amp;C</vt:lpstr>
      <vt:lpstr>summary of recurent allocation</vt:lpstr>
      <vt:lpstr>Summary of capital allocation</vt:lpstr>
      <vt:lpstr>Pooled fund personnel</vt:lpstr>
      <vt:lpstr>Personnel Details</vt:lpstr>
      <vt:lpstr>Pooled Fund SP</vt:lpstr>
      <vt:lpstr>Details SP</vt:lpstr>
      <vt:lpstr>Grants</vt:lpstr>
      <vt:lpstr>Pooled Fund detail Capital</vt:lpstr>
      <vt:lpstr>Project detail capital</vt:lpstr>
      <vt:lpstr>First Schedule</vt:lpstr>
      <vt:lpstr>Second Schedule</vt:lpstr>
      <vt:lpstr>Third Schedule</vt:lpstr>
      <vt:lpstr>Fourth Schedule</vt:lpstr>
      <vt:lpstr>'Fourth Schedule'!Print_Titles</vt:lpstr>
      <vt:lpstr>Grants!Print_Titles</vt:lpstr>
      <vt:lpstr>'Pooled Fund detail Capital'!Print_Titles</vt:lpstr>
      <vt:lpstr>'Pooled Fund SP'!Print_Titles</vt:lpstr>
      <vt:lpstr>'Project detail capital'!Print_Titles</vt:lpstr>
      <vt:lpstr>'Revenue Details'!Print_Titles</vt:lpstr>
      <vt:lpstr>'summary of recurent allocation'!Print_Titles</vt:lpstr>
      <vt:lpstr>'Third Schedule'!Print_Titles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Budget</cp:lastModifiedBy>
  <cp:lastPrinted>2021-12-15T08:45:02Z</cp:lastPrinted>
  <dcterms:created xsi:type="dcterms:W3CDTF">2011-10-12T15:22:11Z</dcterms:created>
  <dcterms:modified xsi:type="dcterms:W3CDTF">2021-12-15T08:50:28Z</dcterms:modified>
</cp:coreProperties>
</file>